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44114574567765c/Documentos/01. Grupo ED/02. TechFinance (SaaS)/Nova TF - Wealth Planners/PFW - Programa Formação de Wealth Planners/Módulo 08 - Decisões Imobiliárias/"/>
    </mc:Choice>
  </mc:AlternateContent>
  <xr:revisionPtr revIDLastSave="30" documentId="8_{8B031C3E-72CB-4290-9717-A1837C371F67}" xr6:coauthVersionLast="47" xr6:coauthVersionMax="47" xr10:uidLastSave="{8BCB12B3-2582-452F-BD23-71DCE007DAAF}"/>
  <bookViews>
    <workbookView xWindow="-110" yWindow="-110" windowWidth="19420" windowHeight="10300" xr2:uid="{00000000-000D-0000-FFFF-FFFF00000000}"/>
  </bookViews>
  <sheets>
    <sheet name="Capa" sheetId="2" r:id="rId1"/>
    <sheet name="Perfil Imobiliário" sheetId="1" r:id="rId2"/>
    <sheet name="Perfil Financeiro" sheetId="3" r:id="rId3"/>
    <sheet name="Disponibilidades" sheetId="13" r:id="rId4"/>
    <sheet name="Simulação )" sheetId="5" r:id="rId5"/>
    <sheet name="Premissas" sheetId="4" r:id="rId6"/>
    <sheet name="Financiamento" sheetId="6" r:id="rId7"/>
    <sheet name="Investimentos" sheetId="11" r:id="rId8"/>
    <sheet name="Resultado Simulação" sheetId="9" r:id="rId9"/>
    <sheet name="Compras na Planta" sheetId="8" r:id="rId10"/>
    <sheet name="Documentação Incorporadora" sheetId="12" state="hidden" r:id="rId11"/>
  </sheets>
  <externalReferences>
    <externalReference r:id="rId12"/>
    <externalReference r:id="rId13"/>
  </externalReferences>
  <definedNames>
    <definedName name="APORTE" localSheetId="3">#REF!</definedName>
    <definedName name="APORTE" localSheetId="10">#REF!</definedName>
    <definedName name="APORTE" localSheetId="7">#REF!</definedName>
    <definedName name="APORTE" localSheetId="2">#REF!</definedName>
    <definedName name="APORTE" localSheetId="8">#REF!</definedName>
    <definedName name="APORTE" localSheetId="4">#REF!</definedName>
    <definedName name="APORTE">#REF!</definedName>
    <definedName name="IDADE_ALVO" localSheetId="3">#REF!</definedName>
    <definedName name="IDADE_ALVO" localSheetId="10">#REF!</definedName>
    <definedName name="IDADE_ALVO" localSheetId="7">#REF!</definedName>
    <definedName name="IDADE_ALVO" localSheetId="2">#REF!</definedName>
    <definedName name="IDADE_ALVO" localSheetId="8">#REF!</definedName>
    <definedName name="IDADE_ALVO" localSheetId="4">#REF!</definedName>
    <definedName name="IDADE_ALVO">#REF!</definedName>
    <definedName name="IDADE_ATUAL" localSheetId="3">#REF!</definedName>
    <definedName name="IDADE_ATUAL" localSheetId="10">#REF!</definedName>
    <definedName name="IDADE_ATUAL" localSheetId="7">#REF!</definedName>
    <definedName name="IDADE_ATUAL" localSheetId="2">#REF!</definedName>
    <definedName name="IDADE_ATUAL" localSheetId="8">#REF!</definedName>
    <definedName name="IDADE_ATUAL" localSheetId="4">#REF!</definedName>
    <definedName name="IDADE_ATUAL">#REF!</definedName>
    <definedName name="IDADE_LIMITE" localSheetId="3">#REF!</definedName>
    <definedName name="IDADE_LIMITE" localSheetId="10">#REF!</definedName>
    <definedName name="IDADE_LIMITE" localSheetId="7">#REF!</definedName>
    <definedName name="IDADE_LIMITE" localSheetId="2">#REF!</definedName>
    <definedName name="IDADE_LIMITE" localSheetId="8">#REF!</definedName>
    <definedName name="IDADE_LIMITE" localSheetId="4">#REF!</definedName>
    <definedName name="IDADE_LIMITE">#REF!</definedName>
    <definedName name="INCC" localSheetId="3">'Compras na Planta'!#REF!</definedName>
    <definedName name="INCC" localSheetId="10">'Compras na Planta'!#REF!</definedName>
    <definedName name="INCC">'Compras na Planta'!#REF!</definedName>
    <definedName name="INFLAÇÃO" localSheetId="3">#REF!</definedName>
    <definedName name="INFLAÇÃO" localSheetId="10">#REF!</definedName>
    <definedName name="INFLAÇÃO" localSheetId="7">#REF!</definedName>
    <definedName name="INFLAÇÃO" localSheetId="2">#REF!</definedName>
    <definedName name="INFLAÇÃO" localSheetId="8">#REF!</definedName>
    <definedName name="INFLAÇÃO" localSheetId="4">#REF!</definedName>
    <definedName name="INFLAÇÃO">#REF!</definedName>
    <definedName name="IR_RESGATE" localSheetId="3">#REF!</definedName>
    <definedName name="IR_RESGATE" localSheetId="10">#REF!</definedName>
    <definedName name="IR_RESGATE" localSheetId="7">#REF!</definedName>
    <definedName name="IR_RESGATE" localSheetId="2">#REF!</definedName>
    <definedName name="IR_RESGATE" localSheetId="8">#REF!</definedName>
    <definedName name="IR_RESGATE" localSheetId="4">#REF!</definedName>
    <definedName name="IR_RESGATE">#REF!</definedName>
    <definedName name="Lista_Ano">'[1]Settings&amp;Calculations'!$C$6:$C$41</definedName>
    <definedName name="Lista_Meses">'[1]Settings&amp;Calculations'!$D$6:$D$17</definedName>
    <definedName name="maior">[2]Sheet1!$C$14</definedName>
    <definedName name="media">[2]Sheet1!$C$13</definedName>
    <definedName name="MONTH">'[1]Calendário '!$C$8</definedName>
    <definedName name="N">[2]Sheet1!$C$16</definedName>
    <definedName name="PV" localSheetId="3">#REF!</definedName>
    <definedName name="PV" localSheetId="10">#REF!</definedName>
    <definedName name="PV" localSheetId="7">#REF!</definedName>
    <definedName name="PV" localSheetId="2">#REF!</definedName>
    <definedName name="PV" localSheetId="8">#REF!</definedName>
    <definedName name="PV" localSheetId="4">#REF!</definedName>
    <definedName name="PV">#REF!</definedName>
    <definedName name="RENDA_PASSIVA" localSheetId="3">#REF!</definedName>
    <definedName name="RENDA_PASSIVA" localSheetId="10">#REF!</definedName>
    <definedName name="RENDA_PASSIVA" localSheetId="7">#REF!</definedName>
    <definedName name="RENDA_PASSIVA" localSheetId="2">#REF!</definedName>
    <definedName name="RENDA_PASSIVA" localSheetId="8">#REF!</definedName>
    <definedName name="RENDA_PASSIVA" localSheetId="4">#REF!</definedName>
    <definedName name="RENDA_PASSIVA">#REF!</definedName>
    <definedName name="SD">'Compras na Planta'!$AA$35</definedName>
    <definedName name="TAXA_NOMINAL" localSheetId="3">#REF!</definedName>
    <definedName name="TAXA_NOMINAL" localSheetId="10">#REF!</definedName>
    <definedName name="TAXA_NOMINAL" localSheetId="7">#REF!</definedName>
    <definedName name="TAXA_NOMINAL" localSheetId="2">#REF!</definedName>
    <definedName name="TAXA_NOMINAL" localSheetId="8">#REF!</definedName>
    <definedName name="TAXA_NOMINAL" localSheetId="4">#REF!</definedName>
    <definedName name="TAXA_NOMINAL">#REF!</definedName>
    <definedName name="Title">'[1]Settings&amp;Calculations'!$C$3</definedName>
    <definedName name="TR" localSheetId="8">'Resultado Simulação'!#REF!</definedName>
    <definedName name="TR">Premissas!$C$26</definedName>
    <definedName name="VLR_IMÓVEL" localSheetId="8">'Resultado Simulação'!$C$12</definedName>
    <definedName name="VLR_IMÓVEL">Premissas!$C$11</definedName>
    <definedName name="YEAR">'[1]Calendário 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0" i="6" l="1"/>
  <c r="F20" i="13" l="1"/>
  <c r="F16" i="13"/>
  <c r="C16" i="13"/>
  <c r="B3" i="13"/>
  <c r="F18" i="13" l="1"/>
  <c r="F21" i="13" s="1"/>
  <c r="B8" i="12"/>
  <c r="B9" i="12" s="1"/>
  <c r="B10" i="12" s="1"/>
  <c r="B11" i="12" s="1"/>
  <c r="B12" i="12" s="1"/>
  <c r="B13" i="12" s="1"/>
  <c r="B14" i="12" s="1"/>
  <c r="B15" i="12" s="1"/>
  <c r="B3" i="12"/>
  <c r="D26" i="8"/>
  <c r="E26" i="8" s="1"/>
  <c r="F26" i="8" s="1"/>
  <c r="G26" i="8" s="1"/>
  <c r="H26" i="8" s="1"/>
  <c r="I26" i="8" s="1"/>
  <c r="J26" i="8" s="1"/>
  <c r="K26" i="8" s="1"/>
  <c r="L26" i="8" s="1"/>
  <c r="M26" i="8" s="1"/>
  <c r="N26" i="8" s="1"/>
  <c r="O26" i="8" s="1"/>
  <c r="P26" i="8" s="1"/>
  <c r="Q26" i="8" s="1"/>
  <c r="R26" i="8" s="1"/>
  <c r="S26" i="8" s="1"/>
  <c r="T26" i="8" s="1"/>
  <c r="U26" i="8" s="1"/>
  <c r="V26" i="8" s="1"/>
  <c r="W26" i="8" s="1"/>
  <c r="X26" i="8" s="1"/>
  <c r="Y26" i="8" s="1"/>
  <c r="Z26" i="8" s="1"/>
  <c r="AA26" i="8" s="1"/>
  <c r="D25" i="8"/>
  <c r="D11" i="8"/>
  <c r="D13" i="8" s="1"/>
  <c r="C28" i="8" s="1"/>
  <c r="E11" i="8"/>
  <c r="D10" i="8"/>
  <c r="D8" i="8"/>
  <c r="C27" i="8" l="1"/>
  <c r="C24" i="8"/>
  <c r="D12" i="8"/>
  <c r="D16" i="8" s="1"/>
  <c r="D17" i="8" s="1"/>
  <c r="B3" i="8"/>
  <c r="E22" i="8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Q22" i="8" s="1"/>
  <c r="R22" i="8" s="1"/>
  <c r="S22" i="8" s="1"/>
  <c r="T22" i="8" s="1"/>
  <c r="U22" i="8" s="1"/>
  <c r="K12" i="11"/>
  <c r="L6" i="11"/>
  <c r="J12" i="11" s="1"/>
  <c r="J13" i="11" s="1"/>
  <c r="I13" i="1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B13" i="11"/>
  <c r="B14" i="11" s="1"/>
  <c r="B3" i="11"/>
  <c r="B4" i="9"/>
  <c r="C29" i="4"/>
  <c r="B388" i="6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3" i="6"/>
  <c r="C8" i="6"/>
  <c r="C9" i="6" s="1"/>
  <c r="B22" i="6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D30" i="8"/>
  <c r="C30" i="8"/>
  <c r="C35" i="8" l="1"/>
  <c r="V22" i="8"/>
  <c r="W22" i="8" s="1"/>
  <c r="X22" i="8" s="1"/>
  <c r="Y22" i="8" s="1"/>
  <c r="Z22" i="8" s="1"/>
  <c r="AA22" i="8" s="1"/>
  <c r="K14" i="11"/>
  <c r="J14" i="11"/>
  <c r="K13" i="11"/>
  <c r="L13" i="11" s="1"/>
  <c r="L12" i="11"/>
  <c r="B15" i="11"/>
  <c r="D27" i="8"/>
  <c r="E27" i="8" l="1"/>
  <c r="F27" i="8" s="1"/>
  <c r="G27" i="8" s="1"/>
  <c r="H27" i="8" s="1"/>
  <c r="I27" i="8" s="1"/>
  <c r="E25" i="8"/>
  <c r="E30" i="8" s="1"/>
  <c r="J15" i="11"/>
  <c r="L14" i="11"/>
  <c r="K15" i="11"/>
  <c r="B16" i="11"/>
  <c r="D35" i="8"/>
  <c r="E35" i="8" s="1"/>
  <c r="F35" i="8" s="1"/>
  <c r="G35" i="8" s="1"/>
  <c r="H35" i="8" s="1"/>
  <c r="I35" i="8" s="1"/>
  <c r="J35" i="8" s="1"/>
  <c r="K35" i="8" s="1"/>
  <c r="L35" i="8" s="1"/>
  <c r="M35" i="8" s="1"/>
  <c r="N35" i="8" s="1"/>
  <c r="D28" i="8"/>
  <c r="E28" i="8" s="1"/>
  <c r="F28" i="8" s="1"/>
  <c r="G28" i="8" s="1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F25" i="8" l="1"/>
  <c r="F30" i="8" s="1"/>
  <c r="J27" i="8"/>
  <c r="K27" i="8" s="1"/>
  <c r="L27" i="8" s="1"/>
  <c r="M27" i="8" s="1"/>
  <c r="O35" i="8"/>
  <c r="P35" i="8" s="1"/>
  <c r="Q35" i="8" s="1"/>
  <c r="R35" i="8" s="1"/>
  <c r="S35" i="8" s="1"/>
  <c r="T35" i="8" s="1"/>
  <c r="U35" i="8" s="1"/>
  <c r="V35" i="8" s="1"/>
  <c r="W35" i="8" s="1"/>
  <c r="X35" i="8" s="1"/>
  <c r="Y35" i="8" s="1"/>
  <c r="Z35" i="8" s="1"/>
  <c r="AA35" i="8" s="1"/>
  <c r="C39" i="8" s="1"/>
  <c r="D39" i="8" s="1"/>
  <c r="J16" i="11"/>
  <c r="L15" i="11"/>
  <c r="K16" i="11"/>
  <c r="B17" i="11"/>
  <c r="G25" i="8"/>
  <c r="G30" i="8" s="1"/>
  <c r="N27" i="8" l="1"/>
  <c r="O27" i="8" s="1"/>
  <c r="J17" i="11"/>
  <c r="L16" i="11"/>
  <c r="K17" i="11"/>
  <c r="B18" i="11"/>
  <c r="H25" i="8"/>
  <c r="H30" i="8" s="1"/>
  <c r="P27" i="8" l="1"/>
  <c r="Q27" i="8" s="1"/>
  <c r="R27" i="8" s="1"/>
  <c r="S27" i="8" s="1"/>
  <c r="T27" i="8" s="1"/>
  <c r="U27" i="8" s="1"/>
  <c r="J18" i="11"/>
  <c r="K18" i="11"/>
  <c r="L17" i="11"/>
  <c r="B19" i="11"/>
  <c r="I25" i="8"/>
  <c r="I30" i="8" s="1"/>
  <c r="V27" i="8" l="1"/>
  <c r="W27" i="8" s="1"/>
  <c r="X27" i="8" s="1"/>
  <c r="Y27" i="8" s="1"/>
  <c r="Z27" i="8" s="1"/>
  <c r="AA27" i="8" s="1"/>
  <c r="J19" i="11"/>
  <c r="L18" i="11"/>
  <c r="K19" i="11"/>
  <c r="B20" i="11"/>
  <c r="J25" i="8"/>
  <c r="J30" i="8" s="1"/>
  <c r="J20" i="11" l="1"/>
  <c r="L19" i="11"/>
  <c r="K20" i="11"/>
  <c r="B21" i="11"/>
  <c r="K25" i="8"/>
  <c r="K30" i="8" s="1"/>
  <c r="J21" i="11" l="1"/>
  <c r="L20" i="11"/>
  <c r="K21" i="11"/>
  <c r="B22" i="11"/>
  <c r="L25" i="8"/>
  <c r="L30" i="8" s="1"/>
  <c r="J22" i="11" l="1"/>
  <c r="K22" i="11"/>
  <c r="L21" i="11"/>
  <c r="B23" i="11"/>
  <c r="M25" i="8"/>
  <c r="M30" i="8" s="1"/>
  <c r="J23" i="11" l="1"/>
  <c r="L22" i="11"/>
  <c r="K23" i="11"/>
  <c r="B24" i="11"/>
  <c r="N25" i="8"/>
  <c r="O25" i="8" l="1"/>
  <c r="O30" i="8" s="1"/>
  <c r="N30" i="8"/>
  <c r="J24" i="11"/>
  <c r="L23" i="11"/>
  <c r="K24" i="11"/>
  <c r="B25" i="11"/>
  <c r="P25" i="8" l="1"/>
  <c r="P30" i="8" s="1"/>
  <c r="J25" i="11"/>
  <c r="L24" i="11"/>
  <c r="K25" i="11"/>
  <c r="B26" i="11"/>
  <c r="Q25" i="8" l="1"/>
  <c r="Q30" i="8" s="1"/>
  <c r="J26" i="11"/>
  <c r="K26" i="11"/>
  <c r="L25" i="11"/>
  <c r="B27" i="11"/>
  <c r="R25" i="8" l="1"/>
  <c r="R30" i="8" s="1"/>
  <c r="J27" i="11"/>
  <c r="L26" i="11"/>
  <c r="K27" i="11"/>
  <c r="B28" i="11"/>
  <c r="S25" i="8" l="1"/>
  <c r="S30" i="8" s="1"/>
  <c r="J28" i="11"/>
  <c r="L27" i="11"/>
  <c r="K28" i="11"/>
  <c r="B29" i="11"/>
  <c r="T25" i="8" l="1"/>
  <c r="T30" i="8" s="1"/>
  <c r="J29" i="11"/>
  <c r="L28" i="11"/>
  <c r="K29" i="11"/>
  <c r="B30" i="11"/>
  <c r="U25" i="8" l="1"/>
  <c r="U30" i="8" s="1"/>
  <c r="J30" i="11"/>
  <c r="K30" i="11"/>
  <c r="L29" i="11"/>
  <c r="B31" i="11"/>
  <c r="V25" i="8" l="1"/>
  <c r="V30" i="8" s="1"/>
  <c r="J31" i="11"/>
  <c r="L30" i="11"/>
  <c r="K31" i="11"/>
  <c r="B32" i="11"/>
  <c r="W25" i="8" l="1"/>
  <c r="W30" i="8" s="1"/>
  <c r="X25" i="8"/>
  <c r="X30" i="8" s="1"/>
  <c r="J32" i="11"/>
  <c r="L31" i="11"/>
  <c r="K32" i="11"/>
  <c r="B33" i="11"/>
  <c r="Y25" i="8" l="1"/>
  <c r="Y30" i="8" s="1"/>
  <c r="J33" i="11"/>
  <c r="L32" i="11"/>
  <c r="K33" i="11"/>
  <c r="B34" i="11"/>
  <c r="Z25" i="8" l="1"/>
  <c r="Z30" i="8" s="1"/>
  <c r="J34" i="11"/>
  <c r="K34" i="11"/>
  <c r="L33" i="11"/>
  <c r="B35" i="11"/>
  <c r="AA25" i="8" l="1"/>
  <c r="AA30" i="8" s="1"/>
  <c r="J35" i="11"/>
  <c r="L34" i="11"/>
  <c r="K35" i="11"/>
  <c r="B36" i="11"/>
  <c r="C38" i="8" l="1"/>
  <c r="J36" i="11"/>
  <c r="L35" i="11"/>
  <c r="K36" i="11"/>
  <c r="B37" i="11"/>
  <c r="D38" i="8" l="1"/>
  <c r="J37" i="11"/>
  <c r="L36" i="11"/>
  <c r="K37" i="11"/>
  <c r="B38" i="11"/>
  <c r="J38" i="11" l="1"/>
  <c r="K38" i="11"/>
  <c r="L37" i="11"/>
  <c r="B39" i="11"/>
  <c r="J39" i="11" l="1"/>
  <c r="L38" i="11"/>
  <c r="K39" i="11"/>
  <c r="B40" i="11"/>
  <c r="J40" i="11" l="1"/>
  <c r="L39" i="11"/>
  <c r="K40" i="11"/>
  <c r="B41" i="11"/>
  <c r="J41" i="11" l="1"/>
  <c r="L40" i="11"/>
  <c r="K41" i="11"/>
  <c r="B42" i="11"/>
  <c r="L41" i="11" l="1"/>
  <c r="C12" i="9" s="1"/>
  <c r="B43" i="11"/>
  <c r="B44" i="11" l="1"/>
  <c r="B45" i="11" l="1"/>
  <c r="B46" i="11" l="1"/>
  <c r="B47" i="11" l="1"/>
  <c r="B48" i="11" l="1"/>
  <c r="B49" i="11" l="1"/>
  <c r="B50" i="11" l="1"/>
  <c r="B51" i="11" l="1"/>
  <c r="B52" i="11" l="1"/>
  <c r="B53" i="11" l="1"/>
  <c r="B54" i="11" l="1"/>
  <c r="B55" i="11" l="1"/>
  <c r="B56" i="11" l="1"/>
  <c r="B57" i="11" l="1"/>
  <c r="B58" i="11" l="1"/>
  <c r="B59" i="11" l="1"/>
  <c r="B60" i="11" l="1"/>
  <c r="B61" i="11" l="1"/>
  <c r="B62" i="11" l="1"/>
  <c r="B63" i="11" l="1"/>
  <c r="B64" i="11" l="1"/>
  <c r="B65" i="11" l="1"/>
  <c r="B66" i="11" l="1"/>
  <c r="B67" i="11" l="1"/>
  <c r="B68" i="11" l="1"/>
  <c r="B69" i="11" l="1"/>
  <c r="B70" i="11" l="1"/>
  <c r="B71" i="11" l="1"/>
  <c r="B72" i="11" l="1"/>
  <c r="B73" i="11" l="1"/>
  <c r="B74" i="11" l="1"/>
  <c r="B75" i="11" l="1"/>
  <c r="B76" i="11" l="1"/>
  <c r="B77" i="11" l="1"/>
  <c r="B78" i="11" l="1"/>
  <c r="B79" i="11" l="1"/>
  <c r="B80" i="11" l="1"/>
  <c r="B81" i="11" l="1"/>
  <c r="B82" i="11" l="1"/>
  <c r="B83" i="11" l="1"/>
  <c r="B84" i="11" l="1"/>
  <c r="B85" i="11" l="1"/>
  <c r="B86" i="11" l="1"/>
  <c r="B87" i="11" l="1"/>
  <c r="B88" i="11" l="1"/>
  <c r="B89" i="11" l="1"/>
  <c r="B90" i="11" l="1"/>
  <c r="B91" i="11" l="1"/>
  <c r="B92" i="11" l="1"/>
  <c r="B93" i="11" l="1"/>
  <c r="B94" i="11" l="1"/>
  <c r="B95" i="11" l="1"/>
  <c r="B96" i="11" l="1"/>
  <c r="B97" i="11" l="1"/>
  <c r="B98" i="11" l="1"/>
  <c r="B99" i="11" l="1"/>
  <c r="B100" i="11" l="1"/>
  <c r="B101" i="11" l="1"/>
  <c r="B102" i="11" l="1"/>
  <c r="B103" i="11" l="1"/>
  <c r="B104" i="11" l="1"/>
  <c r="B105" i="11" l="1"/>
  <c r="B106" i="11" l="1"/>
  <c r="B107" i="11" l="1"/>
  <c r="B108" i="11" l="1"/>
  <c r="B109" i="11" l="1"/>
  <c r="B110" i="11" l="1"/>
  <c r="B111" i="11" l="1"/>
  <c r="B112" i="11" l="1"/>
  <c r="B113" i="11" l="1"/>
  <c r="B114" i="11" l="1"/>
  <c r="B115" i="11" l="1"/>
  <c r="B116" i="11" l="1"/>
  <c r="B117" i="11" l="1"/>
  <c r="B118" i="11" l="1"/>
  <c r="B119" i="11" l="1"/>
  <c r="B120" i="11" l="1"/>
  <c r="B121" i="11" l="1"/>
  <c r="B122" i="11" l="1"/>
  <c r="B123" i="11" l="1"/>
  <c r="B124" i="11" l="1"/>
  <c r="B125" i="11" l="1"/>
  <c r="B126" i="11" l="1"/>
  <c r="B127" i="11" l="1"/>
  <c r="B128" i="11" l="1"/>
  <c r="B129" i="11" l="1"/>
  <c r="B130" i="11" l="1"/>
  <c r="B131" i="11" l="1"/>
  <c r="B132" i="11" l="1"/>
  <c r="B133" i="11" l="1"/>
  <c r="B134" i="11" l="1"/>
  <c r="B135" i="11" l="1"/>
  <c r="B136" i="11" l="1"/>
  <c r="B137" i="11" l="1"/>
  <c r="B138" i="11" l="1"/>
  <c r="B139" i="11" l="1"/>
  <c r="B140" i="11" l="1"/>
  <c r="B141" i="11" l="1"/>
  <c r="B142" i="11" l="1"/>
  <c r="B143" i="11" l="1"/>
  <c r="B144" i="11" l="1"/>
  <c r="B145" i="11" l="1"/>
  <c r="B146" i="11" l="1"/>
  <c r="B147" i="11" l="1"/>
  <c r="B148" i="11" l="1"/>
  <c r="B149" i="11" l="1"/>
  <c r="B150" i="11" l="1"/>
  <c r="B151" i="11" l="1"/>
  <c r="B152" i="11" l="1"/>
  <c r="B153" i="11" l="1"/>
  <c r="B154" i="11" l="1"/>
  <c r="B155" i="11" l="1"/>
  <c r="B156" i="11" l="1"/>
  <c r="B157" i="11" l="1"/>
  <c r="B158" i="11" l="1"/>
  <c r="B159" i="11" l="1"/>
  <c r="B160" i="11" l="1"/>
  <c r="B161" i="11" l="1"/>
  <c r="B162" i="11" l="1"/>
  <c r="B163" i="11" l="1"/>
  <c r="B164" i="11" l="1"/>
  <c r="B165" i="11" l="1"/>
  <c r="B166" i="11" l="1"/>
  <c r="B167" i="11" l="1"/>
  <c r="B168" i="11" l="1"/>
  <c r="B169" i="11" l="1"/>
  <c r="B170" i="11" l="1"/>
  <c r="B171" i="11" l="1"/>
  <c r="B172" i="11" l="1"/>
  <c r="B173" i="11" l="1"/>
  <c r="B174" i="11" l="1"/>
  <c r="B175" i="11" l="1"/>
  <c r="B176" i="11" l="1"/>
  <c r="B177" i="11" l="1"/>
  <c r="B178" i="11" l="1"/>
  <c r="B179" i="11" l="1"/>
  <c r="B180" i="11" l="1"/>
  <c r="B181" i="11" l="1"/>
  <c r="B182" i="11" l="1"/>
  <c r="B183" i="11" l="1"/>
  <c r="B184" i="11" l="1"/>
  <c r="B185" i="11" l="1"/>
  <c r="B186" i="11" l="1"/>
  <c r="B187" i="11" l="1"/>
  <c r="B188" i="11" l="1"/>
  <c r="B189" i="11" l="1"/>
  <c r="B190" i="11" l="1"/>
  <c r="B191" i="11" l="1"/>
  <c r="B192" i="11" l="1"/>
  <c r="B193" i="11" l="1"/>
  <c r="B194" i="11" l="1"/>
  <c r="B195" i="11" l="1"/>
  <c r="B196" i="11" l="1"/>
  <c r="B197" i="11" l="1"/>
  <c r="B198" i="11" l="1"/>
  <c r="B199" i="11" l="1"/>
  <c r="B200" i="11" l="1"/>
  <c r="B201" i="11" l="1"/>
  <c r="B202" i="11" l="1"/>
  <c r="B203" i="11" l="1"/>
  <c r="B204" i="11" l="1"/>
  <c r="B205" i="11" l="1"/>
  <c r="B206" i="11" l="1"/>
  <c r="B207" i="11" l="1"/>
  <c r="B208" i="11" l="1"/>
  <c r="B209" i="11" l="1"/>
  <c r="B210" i="11" l="1"/>
  <c r="B211" i="11" l="1"/>
  <c r="B212" i="11" l="1"/>
  <c r="B213" i="11" l="1"/>
  <c r="B214" i="11" l="1"/>
  <c r="B215" i="11" l="1"/>
  <c r="B216" i="11" l="1"/>
  <c r="B217" i="11" l="1"/>
  <c r="B218" i="11" l="1"/>
  <c r="B219" i="11" l="1"/>
  <c r="B220" i="11" l="1"/>
  <c r="B221" i="11" l="1"/>
  <c r="B222" i="11" l="1"/>
  <c r="B223" i="11" l="1"/>
  <c r="B224" i="11" l="1"/>
  <c r="B225" i="11" l="1"/>
  <c r="B226" i="11" l="1"/>
  <c r="B227" i="11" l="1"/>
  <c r="B228" i="11" l="1"/>
  <c r="B229" i="11" l="1"/>
  <c r="B230" i="11" l="1"/>
  <c r="B231" i="11" l="1"/>
  <c r="B232" i="11" l="1"/>
  <c r="B233" i="11" l="1"/>
  <c r="B234" i="11" l="1"/>
  <c r="B235" i="11" l="1"/>
  <c r="B236" i="11" l="1"/>
  <c r="B237" i="11" l="1"/>
  <c r="B238" i="11" l="1"/>
  <c r="B239" i="11" l="1"/>
  <c r="B240" i="11" l="1"/>
  <c r="B241" i="11" l="1"/>
  <c r="B242" i="11" l="1"/>
  <c r="B243" i="11" l="1"/>
  <c r="B244" i="11" l="1"/>
  <c r="B245" i="11" l="1"/>
  <c r="B246" i="11" l="1"/>
  <c r="B247" i="11" l="1"/>
  <c r="B248" i="11" l="1"/>
  <c r="B249" i="11" l="1"/>
  <c r="B250" i="11" l="1"/>
  <c r="B251" i="11" l="1"/>
  <c r="B252" i="11" l="1"/>
  <c r="B253" i="11" l="1"/>
  <c r="B254" i="11" l="1"/>
  <c r="B255" i="11" l="1"/>
  <c r="B256" i="11" l="1"/>
  <c r="B257" i="11" l="1"/>
  <c r="B258" i="11" l="1"/>
  <c r="B259" i="11" l="1"/>
  <c r="B260" i="11" l="1"/>
  <c r="B261" i="11" l="1"/>
  <c r="B262" i="11" l="1"/>
  <c r="B263" i="11" l="1"/>
  <c r="B264" i="11" l="1"/>
  <c r="B265" i="11" l="1"/>
  <c r="B266" i="11" l="1"/>
  <c r="B267" i="11" l="1"/>
  <c r="B268" i="11" l="1"/>
  <c r="B269" i="11" l="1"/>
  <c r="B270" i="11" l="1"/>
  <c r="B271" i="11" l="1"/>
  <c r="B272" i="11" l="1"/>
  <c r="B273" i="11" l="1"/>
  <c r="B274" i="11" l="1"/>
  <c r="B275" i="11" l="1"/>
  <c r="B276" i="11" l="1"/>
  <c r="B277" i="11" l="1"/>
  <c r="B278" i="11" l="1"/>
  <c r="B279" i="11" l="1"/>
  <c r="B280" i="11" l="1"/>
  <c r="B281" i="11" l="1"/>
  <c r="B282" i="11" l="1"/>
  <c r="B283" i="11" l="1"/>
  <c r="B284" i="11" l="1"/>
  <c r="B285" i="11" l="1"/>
  <c r="B286" i="11" l="1"/>
  <c r="B287" i="11" l="1"/>
  <c r="B288" i="11" l="1"/>
  <c r="B289" i="11" l="1"/>
  <c r="B290" i="11" l="1"/>
  <c r="B291" i="11" l="1"/>
  <c r="B292" i="11" l="1"/>
  <c r="B293" i="11" l="1"/>
  <c r="B294" i="11" l="1"/>
  <c r="B295" i="11" l="1"/>
  <c r="B296" i="11" l="1"/>
  <c r="B297" i="11" l="1"/>
  <c r="B298" i="11" l="1"/>
  <c r="B299" i="11" l="1"/>
  <c r="B300" i="11" l="1"/>
  <c r="B301" i="11" l="1"/>
  <c r="B302" i="11" l="1"/>
  <c r="B303" i="11" l="1"/>
  <c r="B304" i="11" l="1"/>
  <c r="B305" i="11" l="1"/>
  <c r="B306" i="11" l="1"/>
  <c r="B307" i="11" l="1"/>
  <c r="B308" i="11" l="1"/>
  <c r="B309" i="11" l="1"/>
  <c r="B310" i="11" l="1"/>
  <c r="B311" i="11" l="1"/>
  <c r="B312" i="11" l="1"/>
  <c r="B313" i="11" l="1"/>
  <c r="B314" i="11" l="1"/>
  <c r="B315" i="11" l="1"/>
  <c r="B316" i="11" l="1"/>
  <c r="B317" i="11" l="1"/>
  <c r="B318" i="11" l="1"/>
  <c r="B319" i="11" l="1"/>
  <c r="B320" i="11" l="1"/>
  <c r="B321" i="11" l="1"/>
  <c r="B322" i="11" l="1"/>
  <c r="B323" i="11" l="1"/>
  <c r="B324" i="11" l="1"/>
  <c r="B325" i="11" l="1"/>
  <c r="B326" i="11" l="1"/>
  <c r="B327" i="11" l="1"/>
  <c r="B328" i="11" l="1"/>
  <c r="B329" i="11" l="1"/>
  <c r="B330" i="11" l="1"/>
  <c r="B331" i="11" l="1"/>
  <c r="B332" i="11" l="1"/>
  <c r="B333" i="11" l="1"/>
  <c r="B334" i="11" l="1"/>
  <c r="B335" i="11" l="1"/>
  <c r="B336" i="11" l="1"/>
  <c r="B337" i="11" l="1"/>
  <c r="B338" i="11" l="1"/>
  <c r="B339" i="11" l="1"/>
  <c r="B340" i="11" l="1"/>
  <c r="B341" i="11" l="1"/>
  <c r="B342" i="11" l="1"/>
  <c r="B343" i="11" l="1"/>
  <c r="B344" i="11" l="1"/>
  <c r="B345" i="11" l="1"/>
  <c r="B346" i="11" l="1"/>
  <c r="B347" i="11" l="1"/>
  <c r="B348" i="11" l="1"/>
  <c r="B349" i="11" l="1"/>
  <c r="B350" i="11" l="1"/>
  <c r="B351" i="11" l="1"/>
  <c r="B352" i="11" l="1"/>
  <c r="B353" i="11" l="1"/>
  <c r="B354" i="11" l="1"/>
  <c r="B355" i="11" l="1"/>
  <c r="B356" i="11" l="1"/>
  <c r="B357" i="11" l="1"/>
  <c r="B358" i="11" l="1"/>
  <c r="B359" i="11" l="1"/>
  <c r="B360" i="11" l="1"/>
  <c r="B361" i="11" l="1"/>
  <c r="B362" i="11" l="1"/>
  <c r="B363" i="11" l="1"/>
  <c r="B364" i="11" l="1"/>
  <c r="B365" i="11" l="1"/>
  <c r="B366" i="11" l="1"/>
  <c r="B367" i="11" l="1"/>
  <c r="B368" i="11" l="1"/>
  <c r="B369" i="11" l="1"/>
  <c r="B370" i="11" l="1"/>
  <c r="B371" i="11" l="1"/>
  <c r="C23" i="4" l="1"/>
  <c r="C7" i="9" s="1"/>
  <c r="C22" i="4"/>
  <c r="C14" i="4"/>
  <c r="D11" i="11" s="1"/>
  <c r="D12" i="11" s="1"/>
  <c r="C17" i="4"/>
  <c r="D33" i="8" s="1"/>
  <c r="A12" i="4"/>
  <c r="A13" i="4" s="1"/>
  <c r="A15" i="4" s="1"/>
  <c r="A21" i="4" s="1"/>
  <c r="A23" i="4" s="1"/>
  <c r="A24" i="4" s="1"/>
  <c r="A25" i="4" s="1"/>
  <c r="A26" i="4" s="1"/>
  <c r="A28" i="4" s="1"/>
  <c r="A30" i="4" s="1"/>
  <c r="A31" i="4" s="1"/>
  <c r="B7" i="4"/>
  <c r="B3" i="3"/>
  <c r="B3" i="1"/>
  <c r="AA33" i="8" l="1"/>
  <c r="E33" i="8"/>
  <c r="U33" i="8"/>
  <c r="X33" i="8"/>
  <c r="R33" i="8"/>
  <c r="K33" i="8"/>
  <c r="Y33" i="8"/>
  <c r="F33" i="8"/>
  <c r="V33" i="8"/>
  <c r="O33" i="8"/>
  <c r="M33" i="8"/>
  <c r="H33" i="8"/>
  <c r="J33" i="8"/>
  <c r="Z33" i="8"/>
  <c r="S33" i="8"/>
  <c r="P33" i="8"/>
  <c r="G33" i="8"/>
  <c r="I33" i="8"/>
  <c r="T33" i="8"/>
  <c r="Q33" i="8"/>
  <c r="N33" i="8"/>
  <c r="W33" i="8"/>
  <c r="L33" i="8"/>
  <c r="D32" i="8"/>
  <c r="E32" i="8" s="1"/>
  <c r="F32" i="8" s="1"/>
  <c r="D13" i="11"/>
  <c r="C24" i="4"/>
  <c r="C7" i="6" s="1"/>
  <c r="C11" i="11"/>
  <c r="C12" i="11" s="1"/>
  <c r="C5" i="6"/>
  <c r="A16" i="4"/>
  <c r="A17" i="4" s="1"/>
  <c r="C32" i="4" l="1"/>
  <c r="G32" i="8"/>
  <c r="H32" i="8" s="1"/>
  <c r="I32" i="8" s="1"/>
  <c r="J32" i="8" s="1"/>
  <c r="K32" i="8" s="1"/>
  <c r="L32" i="8" s="1"/>
  <c r="M32" i="8" s="1"/>
  <c r="N32" i="8" s="1"/>
  <c r="O32" i="8" s="1"/>
  <c r="P32" i="8" s="1"/>
  <c r="Q32" i="8" s="1"/>
  <c r="R32" i="8" s="1"/>
  <c r="S32" i="8" s="1"/>
  <c r="T32" i="8" s="1"/>
  <c r="U32" i="8" s="1"/>
  <c r="V32" i="8" s="1"/>
  <c r="W32" i="8" s="1"/>
  <c r="X32" i="8" s="1"/>
  <c r="Y32" i="8" s="1"/>
  <c r="Z32" i="8" s="1"/>
  <c r="AA32" i="8" s="1"/>
  <c r="C40" i="8" s="1"/>
  <c r="F21" i="6"/>
  <c r="D14" i="11"/>
  <c r="C365" i="11"/>
  <c r="C361" i="11"/>
  <c r="C357" i="11"/>
  <c r="C353" i="11"/>
  <c r="C349" i="11"/>
  <c r="C345" i="11"/>
  <c r="C341" i="11"/>
  <c r="C337" i="11"/>
  <c r="C333" i="11"/>
  <c r="C329" i="11"/>
  <c r="C325" i="11"/>
  <c r="C321" i="11"/>
  <c r="C317" i="11"/>
  <c r="C313" i="11"/>
  <c r="C309" i="11"/>
  <c r="C305" i="11"/>
  <c r="C301" i="11"/>
  <c r="C297" i="11"/>
  <c r="C293" i="11"/>
  <c r="C289" i="11"/>
  <c r="C285" i="11"/>
  <c r="C281" i="11"/>
  <c r="C277" i="11"/>
  <c r="C273" i="11"/>
  <c r="C269" i="11"/>
  <c r="C265" i="11"/>
  <c r="C261" i="11"/>
  <c r="C257" i="11"/>
  <c r="C253" i="11"/>
  <c r="C249" i="11"/>
  <c r="C245" i="11"/>
  <c r="C241" i="11"/>
  <c r="C237" i="11"/>
  <c r="C233" i="11"/>
  <c r="C229" i="11"/>
  <c r="C225" i="11"/>
  <c r="C221" i="11"/>
  <c r="C217" i="11"/>
  <c r="C213" i="11"/>
  <c r="C209" i="11"/>
  <c r="C205" i="11"/>
  <c r="C201" i="11"/>
  <c r="C197" i="11"/>
  <c r="C193" i="11"/>
  <c r="C189" i="11"/>
  <c r="C185" i="11"/>
  <c r="C181" i="11"/>
  <c r="C177" i="11"/>
  <c r="C173" i="11"/>
  <c r="C169" i="11"/>
  <c r="C165" i="11"/>
  <c r="C161" i="11"/>
  <c r="C157" i="11"/>
  <c r="C153" i="11"/>
  <c r="C149" i="11"/>
  <c r="C145" i="11"/>
  <c r="C141" i="11"/>
  <c r="C137" i="11"/>
  <c r="C133" i="11"/>
  <c r="C129" i="11"/>
  <c r="C125" i="11"/>
  <c r="C121" i="11"/>
  <c r="C117" i="11"/>
  <c r="C113" i="11"/>
  <c r="C109" i="11"/>
  <c r="C105" i="11"/>
  <c r="C101" i="11"/>
  <c r="C368" i="11"/>
  <c r="C364" i="11"/>
  <c r="C360" i="11"/>
  <c r="C356" i="11"/>
  <c r="C352" i="11"/>
  <c r="C348" i="11"/>
  <c r="C344" i="11"/>
  <c r="C340" i="11"/>
  <c r="C336" i="11"/>
  <c r="C332" i="11"/>
  <c r="C328" i="11"/>
  <c r="C324" i="11"/>
  <c r="C320" i="11"/>
  <c r="C316" i="11"/>
  <c r="C312" i="11"/>
  <c r="C308" i="11"/>
  <c r="C304" i="11"/>
  <c r="C300" i="11"/>
  <c r="C296" i="11"/>
  <c r="C292" i="11"/>
  <c r="C288" i="11"/>
  <c r="C284" i="11"/>
  <c r="C280" i="11"/>
  <c r="C276" i="11"/>
  <c r="C272" i="11"/>
  <c r="C268" i="11"/>
  <c r="C264" i="11"/>
  <c r="C260" i="11"/>
  <c r="C256" i="11"/>
  <c r="C252" i="11"/>
  <c r="C248" i="11"/>
  <c r="C244" i="11"/>
  <c r="C240" i="11"/>
  <c r="C236" i="11"/>
  <c r="C232" i="11"/>
  <c r="C228" i="11"/>
  <c r="C224" i="11"/>
  <c r="C220" i="11"/>
  <c r="C216" i="11"/>
  <c r="C212" i="11"/>
  <c r="C208" i="11"/>
  <c r="C204" i="11"/>
  <c r="C200" i="11"/>
  <c r="C196" i="11"/>
  <c r="C192" i="11"/>
  <c r="C188" i="11"/>
  <c r="C184" i="11"/>
  <c r="C180" i="11"/>
  <c r="C176" i="11"/>
  <c r="C172" i="11"/>
  <c r="C168" i="11"/>
  <c r="C164" i="11"/>
  <c r="C160" i="11"/>
  <c r="C156" i="11"/>
  <c r="C152" i="11"/>
  <c r="C148" i="11"/>
  <c r="C144" i="11"/>
  <c r="C140" i="11"/>
  <c r="C136" i="11"/>
  <c r="C132" i="11"/>
  <c r="C128" i="11"/>
  <c r="C124" i="11"/>
  <c r="C120" i="11"/>
  <c r="C116" i="11"/>
  <c r="C112" i="11"/>
  <c r="C108" i="11"/>
  <c r="C104" i="11"/>
  <c r="C100" i="11"/>
  <c r="C96" i="11"/>
  <c r="C92" i="11"/>
  <c r="C88" i="11"/>
  <c r="C84" i="11"/>
  <c r="C80" i="11"/>
  <c r="C367" i="11"/>
  <c r="C363" i="11"/>
  <c r="C359" i="11"/>
  <c r="C355" i="11"/>
  <c r="C351" i="11"/>
  <c r="C347" i="11"/>
  <c r="C343" i="11"/>
  <c r="C339" i="11"/>
  <c r="C335" i="11"/>
  <c r="C331" i="11"/>
  <c r="C327" i="11"/>
  <c r="C323" i="11"/>
  <c r="C319" i="11"/>
  <c r="C315" i="11"/>
  <c r="C311" i="11"/>
  <c r="C307" i="11"/>
  <c r="C303" i="11"/>
  <c r="C299" i="11"/>
  <c r="C295" i="11"/>
  <c r="C291" i="11"/>
  <c r="C287" i="11"/>
  <c r="C283" i="11"/>
  <c r="C279" i="11"/>
  <c r="C275" i="11"/>
  <c r="C271" i="11"/>
  <c r="C267" i="11"/>
  <c r="C263" i="11"/>
  <c r="C259" i="11"/>
  <c r="C255" i="11"/>
  <c r="C251" i="11"/>
  <c r="C247" i="11"/>
  <c r="C243" i="11"/>
  <c r="C239" i="11"/>
  <c r="C235" i="11"/>
  <c r="C231" i="11"/>
  <c r="C227" i="11"/>
  <c r="C223" i="11"/>
  <c r="C219" i="11"/>
  <c r="C215" i="11"/>
  <c r="C211" i="11"/>
  <c r="C207" i="11"/>
  <c r="C203" i="11"/>
  <c r="C199" i="11"/>
  <c r="C195" i="11"/>
  <c r="C191" i="11"/>
  <c r="C187" i="11"/>
  <c r="C183" i="11"/>
  <c r="C179" i="11"/>
  <c r="C175" i="11"/>
  <c r="C171" i="11"/>
  <c r="C167" i="11"/>
  <c r="C163" i="11"/>
  <c r="C159" i="11"/>
  <c r="C155" i="11"/>
  <c r="C151" i="11"/>
  <c r="C147" i="11"/>
  <c r="C143" i="11"/>
  <c r="C139" i="11"/>
  <c r="C135" i="11"/>
  <c r="C131" i="11"/>
  <c r="C127" i="11"/>
  <c r="C123" i="11"/>
  <c r="C119" i="11"/>
  <c r="C115" i="11"/>
  <c r="C111" i="11"/>
  <c r="C107" i="11"/>
  <c r="C103" i="11"/>
  <c r="C99" i="11"/>
  <c r="C95" i="11"/>
  <c r="C91" i="11"/>
  <c r="C87" i="11"/>
  <c r="C83" i="11"/>
  <c r="C366" i="11"/>
  <c r="C350" i="11"/>
  <c r="C334" i="11"/>
  <c r="C318" i="11"/>
  <c r="C302" i="11"/>
  <c r="C286" i="11"/>
  <c r="C270" i="11"/>
  <c r="C254" i="11"/>
  <c r="C238" i="11"/>
  <c r="C222" i="11"/>
  <c r="C206" i="11"/>
  <c r="C190" i="11"/>
  <c r="C174" i="11"/>
  <c r="C158" i="11"/>
  <c r="C142" i="11"/>
  <c r="C126" i="11"/>
  <c r="C110" i="11"/>
  <c r="C97" i="11"/>
  <c r="C89" i="11"/>
  <c r="C81" i="11"/>
  <c r="C76" i="11"/>
  <c r="C72" i="11"/>
  <c r="C68" i="11"/>
  <c r="C64" i="11"/>
  <c r="C60" i="11"/>
  <c r="C56" i="11"/>
  <c r="C52" i="11"/>
  <c r="C48" i="11"/>
  <c r="C44" i="11"/>
  <c r="C40" i="11"/>
  <c r="C36" i="11"/>
  <c r="C32" i="11"/>
  <c r="C28" i="11"/>
  <c r="C24" i="11"/>
  <c r="C20" i="11"/>
  <c r="C16" i="11"/>
  <c r="C310" i="11"/>
  <c r="C262" i="11"/>
  <c r="C230" i="11"/>
  <c r="C198" i="11"/>
  <c r="C150" i="11"/>
  <c r="C118" i="11"/>
  <c r="C93" i="11"/>
  <c r="C78" i="11"/>
  <c r="C66" i="11"/>
  <c r="C58" i="11"/>
  <c r="C50" i="11"/>
  <c r="C42" i="11"/>
  <c r="C30" i="11"/>
  <c r="C22" i="11"/>
  <c r="C14" i="11"/>
  <c r="C178" i="11"/>
  <c r="C130" i="11"/>
  <c r="C98" i="11"/>
  <c r="C82" i="11"/>
  <c r="C73" i="11"/>
  <c r="C65" i="11"/>
  <c r="C57" i="11"/>
  <c r="C49" i="11"/>
  <c r="C41" i="11"/>
  <c r="C362" i="11"/>
  <c r="C346" i="11"/>
  <c r="C330" i="11"/>
  <c r="C314" i="11"/>
  <c r="C298" i="11"/>
  <c r="C282" i="11"/>
  <c r="C266" i="11"/>
  <c r="C250" i="11"/>
  <c r="C234" i="11"/>
  <c r="C218" i="11"/>
  <c r="C202" i="11"/>
  <c r="C186" i="11"/>
  <c r="C170" i="11"/>
  <c r="C154" i="11"/>
  <c r="C138" i="11"/>
  <c r="C122" i="11"/>
  <c r="C106" i="11"/>
  <c r="C94" i="11"/>
  <c r="C86" i="11"/>
  <c r="C79" i="11"/>
  <c r="C75" i="11"/>
  <c r="C71" i="11"/>
  <c r="C67" i="11"/>
  <c r="C63" i="11"/>
  <c r="C59" i="11"/>
  <c r="C55" i="11"/>
  <c r="C51" i="11"/>
  <c r="C47" i="11"/>
  <c r="C43" i="11"/>
  <c r="C39" i="11"/>
  <c r="C35" i="11"/>
  <c r="C31" i="11"/>
  <c r="C27" i="11"/>
  <c r="C23" i="11"/>
  <c r="C19" i="11"/>
  <c r="C15" i="11"/>
  <c r="C358" i="11"/>
  <c r="C342" i="11"/>
  <c r="C326" i="11"/>
  <c r="C294" i="11"/>
  <c r="C278" i="11"/>
  <c r="C246" i="11"/>
  <c r="C214" i="11"/>
  <c r="C182" i="11"/>
  <c r="C166" i="11"/>
  <c r="C134" i="11"/>
  <c r="C102" i="11"/>
  <c r="C85" i="11"/>
  <c r="C74" i="11"/>
  <c r="C70" i="11"/>
  <c r="C62" i="11"/>
  <c r="C54" i="11"/>
  <c r="C46" i="11"/>
  <c r="C38" i="11"/>
  <c r="C34" i="11"/>
  <c r="C26" i="11"/>
  <c r="C18" i="11"/>
  <c r="C354" i="11"/>
  <c r="C338" i="11"/>
  <c r="C322" i="11"/>
  <c r="C306" i="11"/>
  <c r="C290" i="11"/>
  <c r="C274" i="11"/>
  <c r="C258" i="11"/>
  <c r="C242" i="11"/>
  <c r="C226" i="11"/>
  <c r="C210" i="11"/>
  <c r="C194" i="11"/>
  <c r="C162" i="11"/>
  <c r="C146" i="11"/>
  <c r="C114" i="11"/>
  <c r="C90" i="11"/>
  <c r="C77" i="11"/>
  <c r="C69" i="11"/>
  <c r="C61" i="11"/>
  <c r="C53" i="11"/>
  <c r="C45" i="11"/>
  <c r="C29" i="11"/>
  <c r="C13" i="11"/>
  <c r="C33" i="11"/>
  <c r="C25" i="11"/>
  <c r="C17" i="11"/>
  <c r="C37" i="11"/>
  <c r="C21" i="11"/>
  <c r="C369" i="11"/>
  <c r="C370" i="11"/>
  <c r="C371" i="11"/>
  <c r="D21" i="6"/>
  <c r="C21" i="6" s="1"/>
  <c r="F22" i="6" s="1"/>
  <c r="D15" i="11" l="1"/>
  <c r="H22" i="6"/>
  <c r="H21" i="6"/>
  <c r="D22" i="6"/>
  <c r="C22" i="6" s="1"/>
  <c r="E21" i="6"/>
  <c r="D16" i="11" l="1"/>
  <c r="F23" i="6"/>
  <c r="H23" i="6"/>
  <c r="D23" i="6"/>
  <c r="D17" i="11" l="1"/>
  <c r="C23" i="6"/>
  <c r="H24" i="6" s="1"/>
  <c r="D18" i="11" l="1"/>
  <c r="F24" i="6"/>
  <c r="D24" i="6"/>
  <c r="D19" i="11" l="1"/>
  <c r="E23" i="6"/>
  <c r="G23" i="6" s="1"/>
  <c r="I23" i="6" s="1"/>
  <c r="E14" i="11" s="1"/>
  <c r="F14" i="11" s="1"/>
  <c r="E22" i="6"/>
  <c r="D20" i="11" l="1"/>
  <c r="E24" i="6"/>
  <c r="C24" i="6"/>
  <c r="F25" i="6" s="1"/>
  <c r="G21" i="6"/>
  <c r="I21" i="6" s="1"/>
  <c r="E12" i="11" s="1"/>
  <c r="F12" i="11" s="1"/>
  <c r="G22" i="6"/>
  <c r="I22" i="6" s="1"/>
  <c r="E13" i="11" s="1"/>
  <c r="F13" i="11" s="1"/>
  <c r="G24" i="6"/>
  <c r="I24" i="6" s="1"/>
  <c r="E15" i="11" s="1"/>
  <c r="F15" i="11" s="1"/>
  <c r="D21" i="11" l="1"/>
  <c r="H25" i="6"/>
  <c r="D25" i="6"/>
  <c r="C25" i="6" s="1"/>
  <c r="F26" i="6" s="1"/>
  <c r="E25" i="6"/>
  <c r="G25" i="6" s="1"/>
  <c r="D22" i="11" l="1"/>
  <c r="I25" i="6"/>
  <c r="E16" i="11" s="1"/>
  <c r="F16" i="11" s="1"/>
  <c r="H26" i="6"/>
  <c r="D26" i="6"/>
  <c r="C26" i="6" s="1"/>
  <c r="F27" i="6" s="1"/>
  <c r="E26" i="6"/>
  <c r="G26" i="6" s="1"/>
  <c r="D23" i="11" l="1"/>
  <c r="I26" i="6"/>
  <c r="E17" i="11" s="1"/>
  <c r="F17" i="11" s="1"/>
  <c r="H27" i="6"/>
  <c r="D27" i="6"/>
  <c r="C27" i="6" s="1"/>
  <c r="F28" i="6" s="1"/>
  <c r="E27" i="6"/>
  <c r="G27" i="6" s="1"/>
  <c r="D24" i="11" l="1"/>
  <c r="I27" i="6"/>
  <c r="E18" i="11" s="1"/>
  <c r="F18" i="11" s="1"/>
  <c r="H28" i="6"/>
  <c r="D28" i="6"/>
  <c r="C28" i="6" s="1"/>
  <c r="F29" i="6" s="1"/>
  <c r="E28" i="6"/>
  <c r="G28" i="6" s="1"/>
  <c r="D25" i="11" l="1"/>
  <c r="I28" i="6"/>
  <c r="E19" i="11" s="1"/>
  <c r="F19" i="11" s="1"/>
  <c r="H29" i="6"/>
  <c r="D29" i="6"/>
  <c r="C29" i="6" s="1"/>
  <c r="F30" i="6" s="1"/>
  <c r="E29" i="6"/>
  <c r="G29" i="6" s="1"/>
  <c r="D26" i="11" l="1"/>
  <c r="I29" i="6"/>
  <c r="E20" i="11" s="1"/>
  <c r="F20" i="11" s="1"/>
  <c r="H30" i="6"/>
  <c r="D30" i="6"/>
  <c r="C30" i="6" s="1"/>
  <c r="F31" i="6" s="1"/>
  <c r="E30" i="6"/>
  <c r="G30" i="6" s="1"/>
  <c r="D27" i="11" l="1"/>
  <c r="I30" i="6"/>
  <c r="E21" i="11" s="1"/>
  <c r="F21" i="11" s="1"/>
  <c r="H31" i="6"/>
  <c r="D31" i="6"/>
  <c r="C31" i="6" s="1"/>
  <c r="F32" i="6" s="1"/>
  <c r="E31" i="6"/>
  <c r="G31" i="6" s="1"/>
  <c r="I31" i="6" l="1"/>
  <c r="E22" i="11" s="1"/>
  <c r="F22" i="11" s="1"/>
  <c r="D28" i="11"/>
  <c r="H32" i="6"/>
  <c r="D32" i="6"/>
  <c r="C32" i="6" s="1"/>
  <c r="F33" i="6" s="1"/>
  <c r="E32" i="6"/>
  <c r="G32" i="6" s="1"/>
  <c r="I32" i="6" l="1"/>
  <c r="E23" i="11" s="1"/>
  <c r="F23" i="11" s="1"/>
  <c r="D29" i="11"/>
  <c r="H33" i="6"/>
  <c r="D33" i="6"/>
  <c r="C33" i="6" s="1"/>
  <c r="F34" i="6" s="1"/>
  <c r="E33" i="6"/>
  <c r="G33" i="6" s="1"/>
  <c r="I33" i="6" l="1"/>
  <c r="E24" i="11" s="1"/>
  <c r="F24" i="11" s="1"/>
  <c r="D30" i="11"/>
  <c r="H34" i="6"/>
  <c r="D34" i="6"/>
  <c r="C34" i="6" s="1"/>
  <c r="F35" i="6" s="1"/>
  <c r="E34" i="6"/>
  <c r="G34" i="6" s="1"/>
  <c r="I34" i="6" l="1"/>
  <c r="E25" i="11" s="1"/>
  <c r="F25" i="11" s="1"/>
  <c r="D31" i="11"/>
  <c r="H35" i="6"/>
  <c r="D35" i="6"/>
  <c r="C35" i="6" s="1"/>
  <c r="F36" i="6" s="1"/>
  <c r="E35" i="6"/>
  <c r="G35" i="6" s="1"/>
  <c r="I35" i="6" l="1"/>
  <c r="E26" i="11" s="1"/>
  <c r="F26" i="11" s="1"/>
  <c r="D32" i="11"/>
  <c r="H36" i="6"/>
  <c r="D36" i="6"/>
  <c r="C36" i="6" s="1"/>
  <c r="F37" i="6" s="1"/>
  <c r="E36" i="6"/>
  <c r="G36" i="6" s="1"/>
  <c r="I36" i="6" l="1"/>
  <c r="E27" i="11" s="1"/>
  <c r="F27" i="11" s="1"/>
  <c r="D33" i="11"/>
  <c r="H37" i="6"/>
  <c r="D37" i="6"/>
  <c r="C37" i="6" s="1"/>
  <c r="F38" i="6" s="1"/>
  <c r="E37" i="6"/>
  <c r="G37" i="6" s="1"/>
  <c r="D34" i="11" l="1"/>
  <c r="I37" i="6"/>
  <c r="E28" i="11" s="1"/>
  <c r="F28" i="11" s="1"/>
  <c r="H38" i="6"/>
  <c r="D38" i="6"/>
  <c r="C38" i="6" s="1"/>
  <c r="F39" i="6" s="1"/>
  <c r="E38" i="6"/>
  <c r="G38" i="6" s="1"/>
  <c r="D35" i="11" l="1"/>
  <c r="I38" i="6"/>
  <c r="E29" i="11" s="1"/>
  <c r="F29" i="11" s="1"/>
  <c r="H39" i="6"/>
  <c r="D39" i="6"/>
  <c r="C39" i="6" s="1"/>
  <c r="F40" i="6" s="1"/>
  <c r="E39" i="6"/>
  <c r="G39" i="6" s="1"/>
  <c r="D36" i="11" l="1"/>
  <c r="I39" i="6"/>
  <c r="E30" i="11" s="1"/>
  <c r="F30" i="11" s="1"/>
  <c r="H40" i="6"/>
  <c r="D40" i="6"/>
  <c r="C40" i="6" s="1"/>
  <c r="F41" i="6" s="1"/>
  <c r="E40" i="6"/>
  <c r="G40" i="6" s="1"/>
  <c r="D37" i="11" l="1"/>
  <c r="I40" i="6"/>
  <c r="E31" i="11" s="1"/>
  <c r="F31" i="11" s="1"/>
  <c r="H41" i="6"/>
  <c r="D41" i="6"/>
  <c r="C41" i="6" s="1"/>
  <c r="F42" i="6" s="1"/>
  <c r="E41" i="6"/>
  <c r="G41" i="6" s="1"/>
  <c r="D38" i="11" l="1"/>
  <c r="I41" i="6"/>
  <c r="E32" i="11" s="1"/>
  <c r="F32" i="11" s="1"/>
  <c r="H42" i="6"/>
  <c r="D42" i="6"/>
  <c r="C42" i="6" s="1"/>
  <c r="F43" i="6" s="1"/>
  <c r="E42" i="6"/>
  <c r="G42" i="6" s="1"/>
  <c r="D39" i="11" l="1"/>
  <c r="I42" i="6"/>
  <c r="E33" i="11" s="1"/>
  <c r="F33" i="11" s="1"/>
  <c r="H43" i="6"/>
  <c r="D43" i="6"/>
  <c r="C43" i="6" s="1"/>
  <c r="F44" i="6" s="1"/>
  <c r="E43" i="6"/>
  <c r="G43" i="6" s="1"/>
  <c r="D40" i="11" l="1"/>
  <c r="I43" i="6"/>
  <c r="E34" i="11" s="1"/>
  <c r="F34" i="11" s="1"/>
  <c r="H44" i="6"/>
  <c r="D44" i="6"/>
  <c r="C44" i="6" s="1"/>
  <c r="F45" i="6" s="1"/>
  <c r="E44" i="6"/>
  <c r="G44" i="6" s="1"/>
  <c r="D41" i="11" l="1"/>
  <c r="I44" i="6"/>
  <c r="E35" i="11" s="1"/>
  <c r="F35" i="11" s="1"/>
  <c r="H45" i="6"/>
  <c r="D45" i="6"/>
  <c r="C45" i="6" s="1"/>
  <c r="F46" i="6" s="1"/>
  <c r="E45" i="6"/>
  <c r="G45" i="6" s="1"/>
  <c r="D42" i="11" l="1"/>
  <c r="I45" i="6"/>
  <c r="E36" i="11" s="1"/>
  <c r="F36" i="11" s="1"/>
  <c r="H46" i="6"/>
  <c r="D46" i="6"/>
  <c r="C46" i="6" s="1"/>
  <c r="F47" i="6" s="1"/>
  <c r="E46" i="6"/>
  <c r="G46" i="6" s="1"/>
  <c r="D43" i="11" l="1"/>
  <c r="I46" i="6"/>
  <c r="E37" i="11" s="1"/>
  <c r="F37" i="11" s="1"/>
  <c r="H47" i="6"/>
  <c r="D47" i="6"/>
  <c r="C47" i="6" s="1"/>
  <c r="F48" i="6" s="1"/>
  <c r="E47" i="6"/>
  <c r="G47" i="6" s="1"/>
  <c r="D44" i="11" l="1"/>
  <c r="I47" i="6"/>
  <c r="E38" i="11" s="1"/>
  <c r="F38" i="11" s="1"/>
  <c r="H48" i="6"/>
  <c r="D48" i="6"/>
  <c r="C48" i="6" s="1"/>
  <c r="F49" i="6" s="1"/>
  <c r="E48" i="6"/>
  <c r="G48" i="6" s="1"/>
  <c r="D45" i="11" l="1"/>
  <c r="I48" i="6"/>
  <c r="E39" i="11" s="1"/>
  <c r="F39" i="11" s="1"/>
  <c r="H49" i="6"/>
  <c r="D49" i="6"/>
  <c r="C49" i="6" s="1"/>
  <c r="F50" i="6" s="1"/>
  <c r="E49" i="6"/>
  <c r="G49" i="6" s="1"/>
  <c r="D46" i="11" l="1"/>
  <c r="I49" i="6"/>
  <c r="E40" i="11" s="1"/>
  <c r="F40" i="11" s="1"/>
  <c r="H50" i="6"/>
  <c r="D50" i="6"/>
  <c r="C50" i="6" s="1"/>
  <c r="F51" i="6" s="1"/>
  <c r="E50" i="6"/>
  <c r="G50" i="6" s="1"/>
  <c r="D47" i="11" l="1"/>
  <c r="I50" i="6"/>
  <c r="E41" i="11" s="1"/>
  <c r="F41" i="11" s="1"/>
  <c r="H51" i="6"/>
  <c r="D51" i="6"/>
  <c r="C51" i="6" s="1"/>
  <c r="F52" i="6" s="1"/>
  <c r="E51" i="6"/>
  <c r="G51" i="6" s="1"/>
  <c r="D48" i="11" l="1"/>
  <c r="I51" i="6"/>
  <c r="E42" i="11" s="1"/>
  <c r="F42" i="11" s="1"/>
  <c r="H52" i="6"/>
  <c r="D52" i="6"/>
  <c r="C52" i="6" s="1"/>
  <c r="F53" i="6" s="1"/>
  <c r="E52" i="6"/>
  <c r="G52" i="6" s="1"/>
  <c r="D49" i="11" l="1"/>
  <c r="I52" i="6"/>
  <c r="E43" i="11" s="1"/>
  <c r="F43" i="11" s="1"/>
  <c r="H53" i="6"/>
  <c r="D53" i="6"/>
  <c r="C53" i="6" s="1"/>
  <c r="F54" i="6" s="1"/>
  <c r="E53" i="6"/>
  <c r="G53" i="6" s="1"/>
  <c r="D50" i="11" l="1"/>
  <c r="I53" i="6"/>
  <c r="E44" i="11" s="1"/>
  <c r="F44" i="11" s="1"/>
  <c r="H54" i="6"/>
  <c r="D54" i="6"/>
  <c r="C54" i="6" s="1"/>
  <c r="F55" i="6" s="1"/>
  <c r="E54" i="6"/>
  <c r="G54" i="6" s="1"/>
  <c r="D51" i="11" l="1"/>
  <c r="I54" i="6"/>
  <c r="E45" i="11" s="1"/>
  <c r="F45" i="11" s="1"/>
  <c r="H55" i="6"/>
  <c r="D55" i="6"/>
  <c r="C55" i="6" s="1"/>
  <c r="F56" i="6" s="1"/>
  <c r="E55" i="6"/>
  <c r="G55" i="6" s="1"/>
  <c r="D52" i="11" l="1"/>
  <c r="I55" i="6"/>
  <c r="E46" i="11" s="1"/>
  <c r="F46" i="11" s="1"/>
  <c r="H56" i="6"/>
  <c r="D56" i="6"/>
  <c r="C56" i="6" s="1"/>
  <c r="F57" i="6" s="1"/>
  <c r="E56" i="6"/>
  <c r="G56" i="6" s="1"/>
  <c r="D53" i="11" l="1"/>
  <c r="I56" i="6"/>
  <c r="E47" i="11" s="1"/>
  <c r="F47" i="11" s="1"/>
  <c r="H57" i="6"/>
  <c r="D57" i="6"/>
  <c r="C57" i="6" s="1"/>
  <c r="F58" i="6" s="1"/>
  <c r="E57" i="6"/>
  <c r="G57" i="6" s="1"/>
  <c r="D54" i="11" l="1"/>
  <c r="I57" i="6"/>
  <c r="E48" i="11" s="1"/>
  <c r="F48" i="11" s="1"/>
  <c r="H58" i="6"/>
  <c r="D58" i="6"/>
  <c r="C58" i="6" s="1"/>
  <c r="F59" i="6" s="1"/>
  <c r="E58" i="6"/>
  <c r="G58" i="6" s="1"/>
  <c r="D55" i="11" l="1"/>
  <c r="I58" i="6"/>
  <c r="E49" i="11" s="1"/>
  <c r="F49" i="11" s="1"/>
  <c r="H59" i="6"/>
  <c r="D59" i="6"/>
  <c r="C59" i="6" s="1"/>
  <c r="F60" i="6" s="1"/>
  <c r="E59" i="6"/>
  <c r="G59" i="6" s="1"/>
  <c r="D56" i="11" l="1"/>
  <c r="I59" i="6"/>
  <c r="E50" i="11" s="1"/>
  <c r="F50" i="11" s="1"/>
  <c r="H60" i="6"/>
  <c r="D60" i="6"/>
  <c r="C60" i="6" s="1"/>
  <c r="F61" i="6" s="1"/>
  <c r="E60" i="6"/>
  <c r="G60" i="6" s="1"/>
  <c r="D57" i="11" l="1"/>
  <c r="I60" i="6"/>
  <c r="E51" i="11" s="1"/>
  <c r="F51" i="11" s="1"/>
  <c r="H61" i="6"/>
  <c r="D61" i="6"/>
  <c r="C61" i="6" s="1"/>
  <c r="F62" i="6" s="1"/>
  <c r="E61" i="6"/>
  <c r="G61" i="6" s="1"/>
  <c r="D58" i="11" l="1"/>
  <c r="I61" i="6"/>
  <c r="E52" i="11" s="1"/>
  <c r="F52" i="11" s="1"/>
  <c r="H62" i="6"/>
  <c r="D62" i="6"/>
  <c r="C62" i="6" s="1"/>
  <c r="F63" i="6" s="1"/>
  <c r="E62" i="6"/>
  <c r="G62" i="6" s="1"/>
  <c r="D59" i="11" l="1"/>
  <c r="I62" i="6"/>
  <c r="E53" i="11" s="1"/>
  <c r="F53" i="11" s="1"/>
  <c r="H63" i="6"/>
  <c r="D63" i="6"/>
  <c r="C63" i="6" s="1"/>
  <c r="F64" i="6" s="1"/>
  <c r="E63" i="6"/>
  <c r="G63" i="6" s="1"/>
  <c r="D60" i="11" l="1"/>
  <c r="I63" i="6"/>
  <c r="E54" i="11" s="1"/>
  <c r="F54" i="11" s="1"/>
  <c r="H64" i="6"/>
  <c r="D64" i="6"/>
  <c r="C64" i="6" s="1"/>
  <c r="F65" i="6" s="1"/>
  <c r="E64" i="6"/>
  <c r="G64" i="6" s="1"/>
  <c r="D61" i="11" l="1"/>
  <c r="I64" i="6"/>
  <c r="E55" i="11" s="1"/>
  <c r="F55" i="11" s="1"/>
  <c r="H65" i="6"/>
  <c r="D65" i="6"/>
  <c r="C65" i="6" s="1"/>
  <c r="F66" i="6" s="1"/>
  <c r="E65" i="6"/>
  <c r="G65" i="6" s="1"/>
  <c r="D62" i="11" l="1"/>
  <c r="I65" i="6"/>
  <c r="E56" i="11" s="1"/>
  <c r="F56" i="11" s="1"/>
  <c r="H66" i="6"/>
  <c r="D66" i="6"/>
  <c r="C66" i="6" s="1"/>
  <c r="F67" i="6" s="1"/>
  <c r="E66" i="6"/>
  <c r="G66" i="6" s="1"/>
  <c r="D63" i="11" l="1"/>
  <c r="I66" i="6"/>
  <c r="E57" i="11" s="1"/>
  <c r="F57" i="11" s="1"/>
  <c r="H67" i="6"/>
  <c r="D67" i="6"/>
  <c r="C67" i="6" s="1"/>
  <c r="F68" i="6" s="1"/>
  <c r="E67" i="6"/>
  <c r="G67" i="6" s="1"/>
  <c r="D64" i="11" l="1"/>
  <c r="I67" i="6"/>
  <c r="E58" i="11" s="1"/>
  <c r="F58" i="11" s="1"/>
  <c r="H68" i="6"/>
  <c r="D68" i="6"/>
  <c r="C68" i="6" s="1"/>
  <c r="F69" i="6" s="1"/>
  <c r="E68" i="6"/>
  <c r="G68" i="6" s="1"/>
  <c r="D65" i="11" l="1"/>
  <c r="I68" i="6"/>
  <c r="E59" i="11" s="1"/>
  <c r="F59" i="11" s="1"/>
  <c r="H69" i="6"/>
  <c r="D69" i="6"/>
  <c r="C69" i="6" s="1"/>
  <c r="F70" i="6" s="1"/>
  <c r="E69" i="6"/>
  <c r="G69" i="6" s="1"/>
  <c r="D66" i="11" l="1"/>
  <c r="I69" i="6"/>
  <c r="E60" i="11" s="1"/>
  <c r="F60" i="11" s="1"/>
  <c r="H70" i="6"/>
  <c r="D70" i="6"/>
  <c r="C70" i="6" s="1"/>
  <c r="F71" i="6" s="1"/>
  <c r="E70" i="6"/>
  <c r="G70" i="6" s="1"/>
  <c r="D67" i="11" l="1"/>
  <c r="I70" i="6"/>
  <c r="E61" i="11" s="1"/>
  <c r="F61" i="11" s="1"/>
  <c r="H71" i="6"/>
  <c r="D71" i="6"/>
  <c r="C71" i="6" s="1"/>
  <c r="F72" i="6" s="1"/>
  <c r="E71" i="6"/>
  <c r="G71" i="6" s="1"/>
  <c r="D68" i="11" l="1"/>
  <c r="I71" i="6"/>
  <c r="E62" i="11" s="1"/>
  <c r="F62" i="11" s="1"/>
  <c r="H72" i="6"/>
  <c r="D72" i="6"/>
  <c r="C72" i="6" s="1"/>
  <c r="F73" i="6" s="1"/>
  <c r="E72" i="6"/>
  <c r="G72" i="6" s="1"/>
  <c r="D69" i="11" l="1"/>
  <c r="I72" i="6"/>
  <c r="E63" i="11" s="1"/>
  <c r="F63" i="11" s="1"/>
  <c r="H73" i="6"/>
  <c r="D73" i="6"/>
  <c r="C73" i="6" s="1"/>
  <c r="F74" i="6" s="1"/>
  <c r="E73" i="6"/>
  <c r="G73" i="6" s="1"/>
  <c r="D70" i="11" l="1"/>
  <c r="I73" i="6"/>
  <c r="E64" i="11" s="1"/>
  <c r="F64" i="11" s="1"/>
  <c r="H74" i="6"/>
  <c r="D74" i="6"/>
  <c r="C74" i="6" s="1"/>
  <c r="F75" i="6" s="1"/>
  <c r="E74" i="6"/>
  <c r="G74" i="6" s="1"/>
  <c r="D71" i="11" l="1"/>
  <c r="I74" i="6"/>
  <c r="E65" i="11" s="1"/>
  <c r="F65" i="11" s="1"/>
  <c r="H75" i="6"/>
  <c r="D75" i="6"/>
  <c r="C75" i="6" s="1"/>
  <c r="F76" i="6" s="1"/>
  <c r="E75" i="6"/>
  <c r="G75" i="6" s="1"/>
  <c r="D72" i="11" l="1"/>
  <c r="I75" i="6"/>
  <c r="E66" i="11" s="1"/>
  <c r="F66" i="11" s="1"/>
  <c r="H76" i="6"/>
  <c r="D76" i="6"/>
  <c r="C76" i="6" s="1"/>
  <c r="F77" i="6" s="1"/>
  <c r="E76" i="6"/>
  <c r="G76" i="6" s="1"/>
  <c r="D73" i="11" l="1"/>
  <c r="I76" i="6"/>
  <c r="E67" i="11" s="1"/>
  <c r="F67" i="11" s="1"/>
  <c r="H77" i="6"/>
  <c r="D77" i="6"/>
  <c r="C77" i="6" s="1"/>
  <c r="F78" i="6" s="1"/>
  <c r="E77" i="6"/>
  <c r="G77" i="6" s="1"/>
  <c r="D74" i="11" l="1"/>
  <c r="I77" i="6"/>
  <c r="E68" i="11" s="1"/>
  <c r="F68" i="11" s="1"/>
  <c r="H78" i="6"/>
  <c r="D78" i="6"/>
  <c r="C78" i="6" s="1"/>
  <c r="F79" i="6" s="1"/>
  <c r="E78" i="6"/>
  <c r="G78" i="6" s="1"/>
  <c r="D75" i="11" l="1"/>
  <c r="I78" i="6"/>
  <c r="E69" i="11" s="1"/>
  <c r="F69" i="11" s="1"/>
  <c r="H79" i="6"/>
  <c r="D79" i="6"/>
  <c r="C79" i="6" s="1"/>
  <c r="F80" i="6" s="1"/>
  <c r="E79" i="6"/>
  <c r="G79" i="6" s="1"/>
  <c r="D76" i="11" l="1"/>
  <c r="I79" i="6"/>
  <c r="E70" i="11" s="1"/>
  <c r="F70" i="11" s="1"/>
  <c r="H80" i="6"/>
  <c r="D80" i="6"/>
  <c r="C80" i="6" s="1"/>
  <c r="F81" i="6" s="1"/>
  <c r="E80" i="6"/>
  <c r="G80" i="6" s="1"/>
  <c r="D77" i="11" l="1"/>
  <c r="I80" i="6"/>
  <c r="E71" i="11" s="1"/>
  <c r="F71" i="11" s="1"/>
  <c r="H81" i="6"/>
  <c r="D81" i="6"/>
  <c r="C81" i="6" s="1"/>
  <c r="F82" i="6" s="1"/>
  <c r="E81" i="6"/>
  <c r="G81" i="6" s="1"/>
  <c r="D78" i="11" l="1"/>
  <c r="I81" i="6"/>
  <c r="E72" i="11" s="1"/>
  <c r="F72" i="11" s="1"/>
  <c r="H82" i="6"/>
  <c r="D82" i="6"/>
  <c r="C82" i="6" s="1"/>
  <c r="F83" i="6" s="1"/>
  <c r="E82" i="6"/>
  <c r="G82" i="6" s="1"/>
  <c r="D79" i="11" l="1"/>
  <c r="I82" i="6"/>
  <c r="E73" i="11" s="1"/>
  <c r="F73" i="11" s="1"/>
  <c r="H83" i="6"/>
  <c r="D83" i="6"/>
  <c r="C83" i="6" s="1"/>
  <c r="F84" i="6" s="1"/>
  <c r="E83" i="6"/>
  <c r="G83" i="6" s="1"/>
  <c r="D80" i="11" l="1"/>
  <c r="I83" i="6"/>
  <c r="E74" i="11" s="1"/>
  <c r="F74" i="11" s="1"/>
  <c r="H84" i="6"/>
  <c r="D84" i="6"/>
  <c r="C84" i="6" s="1"/>
  <c r="F85" i="6" s="1"/>
  <c r="E84" i="6"/>
  <c r="G84" i="6" s="1"/>
  <c r="D81" i="11" l="1"/>
  <c r="I84" i="6"/>
  <c r="E75" i="11" s="1"/>
  <c r="F75" i="11" s="1"/>
  <c r="H85" i="6"/>
  <c r="D85" i="6"/>
  <c r="C85" i="6" s="1"/>
  <c r="F86" i="6" s="1"/>
  <c r="E85" i="6"/>
  <c r="G85" i="6" s="1"/>
  <c r="D82" i="11" l="1"/>
  <c r="I85" i="6"/>
  <c r="E76" i="11" s="1"/>
  <c r="F76" i="11" s="1"/>
  <c r="H86" i="6"/>
  <c r="D86" i="6"/>
  <c r="C86" i="6" s="1"/>
  <c r="F87" i="6" s="1"/>
  <c r="E86" i="6"/>
  <c r="G86" i="6" s="1"/>
  <c r="D83" i="11" l="1"/>
  <c r="I86" i="6"/>
  <c r="E77" i="11" s="1"/>
  <c r="F77" i="11" s="1"/>
  <c r="H87" i="6"/>
  <c r="D87" i="6"/>
  <c r="C87" i="6" s="1"/>
  <c r="F88" i="6" s="1"/>
  <c r="E87" i="6"/>
  <c r="G87" i="6" s="1"/>
  <c r="D84" i="11" l="1"/>
  <c r="I87" i="6"/>
  <c r="E78" i="11" s="1"/>
  <c r="F78" i="11" s="1"/>
  <c r="H88" i="6"/>
  <c r="D88" i="6"/>
  <c r="C88" i="6" s="1"/>
  <c r="F89" i="6" s="1"/>
  <c r="E88" i="6"/>
  <c r="G88" i="6" s="1"/>
  <c r="D85" i="11" l="1"/>
  <c r="I88" i="6"/>
  <c r="E79" i="11" s="1"/>
  <c r="F79" i="11" s="1"/>
  <c r="H89" i="6"/>
  <c r="D89" i="6"/>
  <c r="C89" i="6" s="1"/>
  <c r="F90" i="6" s="1"/>
  <c r="E89" i="6"/>
  <c r="G89" i="6" s="1"/>
  <c r="I89" i="6" l="1"/>
  <c r="E80" i="11" s="1"/>
  <c r="F80" i="11" s="1"/>
  <c r="D86" i="11"/>
  <c r="H90" i="6"/>
  <c r="D90" i="6"/>
  <c r="C90" i="6" s="1"/>
  <c r="F91" i="6" s="1"/>
  <c r="E90" i="6"/>
  <c r="G90" i="6" s="1"/>
  <c r="D87" i="11" l="1"/>
  <c r="I90" i="6"/>
  <c r="E81" i="11" s="1"/>
  <c r="F81" i="11" s="1"/>
  <c r="H91" i="6"/>
  <c r="D91" i="6"/>
  <c r="C91" i="6" s="1"/>
  <c r="F92" i="6" s="1"/>
  <c r="E91" i="6"/>
  <c r="G91" i="6" s="1"/>
  <c r="I91" i="6" l="1"/>
  <c r="E82" i="11" s="1"/>
  <c r="F82" i="11" s="1"/>
  <c r="D88" i="11"/>
  <c r="H92" i="6"/>
  <c r="D92" i="6"/>
  <c r="C92" i="6" s="1"/>
  <c r="F93" i="6" s="1"/>
  <c r="E92" i="6"/>
  <c r="G92" i="6" s="1"/>
  <c r="I92" i="6" l="1"/>
  <c r="E83" i="11" s="1"/>
  <c r="F83" i="11" s="1"/>
  <c r="D89" i="11"/>
  <c r="H93" i="6"/>
  <c r="D93" i="6"/>
  <c r="C93" i="6" s="1"/>
  <c r="F94" i="6" s="1"/>
  <c r="E93" i="6"/>
  <c r="G93" i="6" s="1"/>
  <c r="I93" i="6" l="1"/>
  <c r="E84" i="11" s="1"/>
  <c r="F84" i="11" s="1"/>
  <c r="D90" i="11"/>
  <c r="H94" i="6"/>
  <c r="D94" i="6"/>
  <c r="C94" i="6" s="1"/>
  <c r="F95" i="6" s="1"/>
  <c r="E94" i="6"/>
  <c r="G94" i="6" s="1"/>
  <c r="D91" i="11" l="1"/>
  <c r="I94" i="6"/>
  <c r="E85" i="11" s="1"/>
  <c r="F85" i="11" s="1"/>
  <c r="H95" i="6"/>
  <c r="D95" i="6"/>
  <c r="C95" i="6" s="1"/>
  <c r="F96" i="6" s="1"/>
  <c r="E95" i="6"/>
  <c r="G95" i="6" s="1"/>
  <c r="I95" i="6" l="1"/>
  <c r="E86" i="11" s="1"/>
  <c r="F86" i="11" s="1"/>
  <c r="D92" i="11"/>
  <c r="H96" i="6"/>
  <c r="D96" i="6"/>
  <c r="C96" i="6" s="1"/>
  <c r="F97" i="6" s="1"/>
  <c r="E96" i="6"/>
  <c r="G96" i="6" s="1"/>
  <c r="I96" i="6" l="1"/>
  <c r="E87" i="11" s="1"/>
  <c r="F87" i="11" s="1"/>
  <c r="D93" i="11"/>
  <c r="H97" i="6"/>
  <c r="D97" i="6"/>
  <c r="C97" i="6" s="1"/>
  <c r="F98" i="6" s="1"/>
  <c r="E97" i="6"/>
  <c r="G97" i="6" s="1"/>
  <c r="I97" i="6" l="1"/>
  <c r="E88" i="11" s="1"/>
  <c r="F88" i="11" s="1"/>
  <c r="D94" i="11"/>
  <c r="H98" i="6"/>
  <c r="D98" i="6"/>
  <c r="C98" i="6" s="1"/>
  <c r="F99" i="6" s="1"/>
  <c r="E98" i="6"/>
  <c r="G98" i="6" s="1"/>
  <c r="D95" i="11" l="1"/>
  <c r="I98" i="6"/>
  <c r="E89" i="11" s="1"/>
  <c r="F89" i="11" s="1"/>
  <c r="H99" i="6"/>
  <c r="D99" i="6"/>
  <c r="C99" i="6" s="1"/>
  <c r="F100" i="6" s="1"/>
  <c r="E99" i="6"/>
  <c r="G99" i="6" s="1"/>
  <c r="D96" i="11" l="1"/>
  <c r="I99" i="6"/>
  <c r="E90" i="11" s="1"/>
  <c r="F90" i="11" s="1"/>
  <c r="H100" i="6"/>
  <c r="D100" i="6"/>
  <c r="C100" i="6" s="1"/>
  <c r="F101" i="6" s="1"/>
  <c r="E100" i="6"/>
  <c r="G100" i="6" s="1"/>
  <c r="D97" i="11" l="1"/>
  <c r="I100" i="6"/>
  <c r="E91" i="11" s="1"/>
  <c r="F91" i="11" s="1"/>
  <c r="H101" i="6"/>
  <c r="D101" i="6"/>
  <c r="C101" i="6" s="1"/>
  <c r="F102" i="6" s="1"/>
  <c r="E101" i="6"/>
  <c r="G101" i="6" s="1"/>
  <c r="D98" i="11" l="1"/>
  <c r="I101" i="6"/>
  <c r="E92" i="11" s="1"/>
  <c r="F92" i="11" s="1"/>
  <c r="H102" i="6"/>
  <c r="D102" i="6"/>
  <c r="C102" i="6" s="1"/>
  <c r="F103" i="6" s="1"/>
  <c r="E102" i="6"/>
  <c r="G102" i="6" s="1"/>
  <c r="D99" i="11" l="1"/>
  <c r="I102" i="6"/>
  <c r="E93" i="11" s="1"/>
  <c r="F93" i="11" s="1"/>
  <c r="H103" i="6"/>
  <c r="D103" i="6"/>
  <c r="C103" i="6" s="1"/>
  <c r="F104" i="6" s="1"/>
  <c r="E103" i="6"/>
  <c r="G103" i="6" s="1"/>
  <c r="D100" i="11" l="1"/>
  <c r="I103" i="6"/>
  <c r="E94" i="11" s="1"/>
  <c r="F94" i="11" s="1"/>
  <c r="H104" i="6"/>
  <c r="D104" i="6"/>
  <c r="C104" i="6" s="1"/>
  <c r="F105" i="6" s="1"/>
  <c r="E104" i="6"/>
  <c r="G104" i="6" s="1"/>
  <c r="D101" i="11" l="1"/>
  <c r="I104" i="6"/>
  <c r="E95" i="11" s="1"/>
  <c r="F95" i="11" s="1"/>
  <c r="H105" i="6"/>
  <c r="D105" i="6"/>
  <c r="C105" i="6" s="1"/>
  <c r="F106" i="6" s="1"/>
  <c r="E105" i="6"/>
  <c r="G105" i="6" s="1"/>
  <c r="D102" i="11" l="1"/>
  <c r="I105" i="6"/>
  <c r="E96" i="11" s="1"/>
  <c r="F96" i="11" s="1"/>
  <c r="H106" i="6"/>
  <c r="D106" i="6"/>
  <c r="C106" i="6" s="1"/>
  <c r="F107" i="6" s="1"/>
  <c r="E106" i="6"/>
  <c r="G106" i="6" s="1"/>
  <c r="D103" i="11" l="1"/>
  <c r="I106" i="6"/>
  <c r="E97" i="11" s="1"/>
  <c r="F97" i="11" s="1"/>
  <c r="H107" i="6"/>
  <c r="D107" i="6"/>
  <c r="C107" i="6" s="1"/>
  <c r="F108" i="6" s="1"/>
  <c r="E107" i="6"/>
  <c r="G107" i="6" s="1"/>
  <c r="D104" i="11" l="1"/>
  <c r="I107" i="6"/>
  <c r="E98" i="11" s="1"/>
  <c r="F98" i="11" s="1"/>
  <c r="H108" i="6"/>
  <c r="D108" i="6"/>
  <c r="C108" i="6" s="1"/>
  <c r="F109" i="6" s="1"/>
  <c r="E108" i="6"/>
  <c r="G108" i="6" s="1"/>
  <c r="D105" i="11" l="1"/>
  <c r="I108" i="6"/>
  <c r="E99" i="11" s="1"/>
  <c r="F99" i="11" s="1"/>
  <c r="H109" i="6"/>
  <c r="D109" i="6"/>
  <c r="C109" i="6" s="1"/>
  <c r="F110" i="6" s="1"/>
  <c r="E109" i="6"/>
  <c r="G109" i="6" s="1"/>
  <c r="D106" i="11" l="1"/>
  <c r="I109" i="6"/>
  <c r="E100" i="11" s="1"/>
  <c r="F100" i="11" s="1"/>
  <c r="H110" i="6"/>
  <c r="D110" i="6"/>
  <c r="C110" i="6" s="1"/>
  <c r="F111" i="6" s="1"/>
  <c r="E110" i="6"/>
  <c r="G110" i="6" s="1"/>
  <c r="I110" i="6" l="1"/>
  <c r="E101" i="11" s="1"/>
  <c r="F101" i="11" s="1"/>
  <c r="D107" i="11"/>
  <c r="H111" i="6"/>
  <c r="D111" i="6"/>
  <c r="C111" i="6" s="1"/>
  <c r="F112" i="6" s="1"/>
  <c r="E111" i="6"/>
  <c r="G111" i="6" s="1"/>
  <c r="I111" i="6" s="1"/>
  <c r="E102" i="11" s="1"/>
  <c r="F102" i="11" s="1"/>
  <c r="D108" i="11" l="1"/>
  <c r="H112" i="6"/>
  <c r="D112" i="6"/>
  <c r="C112" i="6" s="1"/>
  <c r="F113" i="6" s="1"/>
  <c r="E112" i="6"/>
  <c r="G112" i="6" s="1"/>
  <c r="I112" i="6" l="1"/>
  <c r="E103" i="11" s="1"/>
  <c r="F103" i="11" s="1"/>
  <c r="D109" i="11"/>
  <c r="H113" i="6"/>
  <c r="D113" i="6"/>
  <c r="C113" i="6" s="1"/>
  <c r="F114" i="6" s="1"/>
  <c r="E113" i="6"/>
  <c r="G113" i="6" s="1"/>
  <c r="I113" i="6" s="1"/>
  <c r="E104" i="11" s="1"/>
  <c r="F104" i="11" s="1"/>
  <c r="D110" i="11" l="1"/>
  <c r="H114" i="6"/>
  <c r="D114" i="6"/>
  <c r="C114" i="6" s="1"/>
  <c r="F115" i="6" s="1"/>
  <c r="E114" i="6"/>
  <c r="G114" i="6" s="1"/>
  <c r="I114" i="6" s="1"/>
  <c r="E105" i="11" s="1"/>
  <c r="F105" i="11" s="1"/>
  <c r="D111" i="11" l="1"/>
  <c r="H115" i="6"/>
  <c r="D115" i="6"/>
  <c r="C115" i="6" s="1"/>
  <c r="F116" i="6" s="1"/>
  <c r="E115" i="6"/>
  <c r="G115" i="6" s="1"/>
  <c r="D112" i="11" l="1"/>
  <c r="I115" i="6"/>
  <c r="E106" i="11" s="1"/>
  <c r="F106" i="11" s="1"/>
  <c r="H116" i="6"/>
  <c r="D116" i="6"/>
  <c r="C116" i="6" s="1"/>
  <c r="F117" i="6" s="1"/>
  <c r="E116" i="6"/>
  <c r="G116" i="6" s="1"/>
  <c r="D113" i="11" l="1"/>
  <c r="I116" i="6"/>
  <c r="E107" i="11" s="1"/>
  <c r="F107" i="11" s="1"/>
  <c r="H117" i="6"/>
  <c r="D117" i="6"/>
  <c r="C117" i="6" s="1"/>
  <c r="F118" i="6" s="1"/>
  <c r="E117" i="6"/>
  <c r="G117" i="6" s="1"/>
  <c r="I117" i="6" l="1"/>
  <c r="E108" i="11" s="1"/>
  <c r="F108" i="11" s="1"/>
  <c r="D114" i="11"/>
  <c r="H118" i="6"/>
  <c r="D118" i="6"/>
  <c r="C118" i="6" s="1"/>
  <c r="F119" i="6" s="1"/>
  <c r="E118" i="6"/>
  <c r="G118" i="6" s="1"/>
  <c r="D115" i="11" l="1"/>
  <c r="I118" i="6"/>
  <c r="E109" i="11" s="1"/>
  <c r="F109" i="11" s="1"/>
  <c r="H119" i="6"/>
  <c r="D119" i="6"/>
  <c r="C119" i="6" s="1"/>
  <c r="F120" i="6" s="1"/>
  <c r="E119" i="6"/>
  <c r="G119" i="6" s="1"/>
  <c r="D116" i="11" l="1"/>
  <c r="I119" i="6"/>
  <c r="E110" i="11" s="1"/>
  <c r="F110" i="11" s="1"/>
  <c r="H120" i="6"/>
  <c r="D120" i="6"/>
  <c r="C120" i="6" s="1"/>
  <c r="F121" i="6" s="1"/>
  <c r="E120" i="6"/>
  <c r="G120" i="6" s="1"/>
  <c r="D117" i="11" l="1"/>
  <c r="I120" i="6"/>
  <c r="E111" i="11" s="1"/>
  <c r="F111" i="11" s="1"/>
  <c r="H121" i="6"/>
  <c r="D121" i="6"/>
  <c r="C121" i="6" s="1"/>
  <c r="F122" i="6" s="1"/>
  <c r="E121" i="6"/>
  <c r="G121" i="6" s="1"/>
  <c r="D118" i="11" l="1"/>
  <c r="I121" i="6"/>
  <c r="E112" i="11" s="1"/>
  <c r="F112" i="11" s="1"/>
  <c r="H122" i="6"/>
  <c r="D122" i="6"/>
  <c r="C122" i="6" s="1"/>
  <c r="F123" i="6" s="1"/>
  <c r="E122" i="6"/>
  <c r="G122" i="6" s="1"/>
  <c r="D119" i="11" l="1"/>
  <c r="I122" i="6"/>
  <c r="E113" i="11" s="1"/>
  <c r="F113" i="11" s="1"/>
  <c r="H123" i="6"/>
  <c r="D123" i="6"/>
  <c r="C123" i="6" s="1"/>
  <c r="F124" i="6" s="1"/>
  <c r="E123" i="6"/>
  <c r="G123" i="6" s="1"/>
  <c r="D120" i="11" l="1"/>
  <c r="I123" i="6"/>
  <c r="E114" i="11" s="1"/>
  <c r="F114" i="11" s="1"/>
  <c r="H124" i="6"/>
  <c r="D124" i="6"/>
  <c r="C124" i="6" s="1"/>
  <c r="F125" i="6" s="1"/>
  <c r="E124" i="6"/>
  <c r="G124" i="6" s="1"/>
  <c r="D121" i="11" l="1"/>
  <c r="I124" i="6"/>
  <c r="E115" i="11" s="1"/>
  <c r="F115" i="11" s="1"/>
  <c r="H125" i="6"/>
  <c r="D125" i="6"/>
  <c r="C125" i="6" s="1"/>
  <c r="F126" i="6" s="1"/>
  <c r="E125" i="6"/>
  <c r="G125" i="6" s="1"/>
  <c r="D122" i="11" l="1"/>
  <c r="I125" i="6"/>
  <c r="E116" i="11" s="1"/>
  <c r="F116" i="11" s="1"/>
  <c r="H126" i="6"/>
  <c r="D126" i="6"/>
  <c r="C126" i="6" s="1"/>
  <c r="F127" i="6" s="1"/>
  <c r="E126" i="6"/>
  <c r="G126" i="6" s="1"/>
  <c r="D123" i="11" l="1"/>
  <c r="I126" i="6"/>
  <c r="E117" i="11" s="1"/>
  <c r="F117" i="11" s="1"/>
  <c r="H127" i="6"/>
  <c r="D127" i="6"/>
  <c r="C127" i="6" s="1"/>
  <c r="F128" i="6" s="1"/>
  <c r="E127" i="6"/>
  <c r="G127" i="6" s="1"/>
  <c r="I127" i="6" l="1"/>
  <c r="E118" i="11" s="1"/>
  <c r="F118" i="11" s="1"/>
  <c r="D124" i="11"/>
  <c r="H128" i="6"/>
  <c r="D128" i="6"/>
  <c r="C128" i="6" s="1"/>
  <c r="F129" i="6" s="1"/>
  <c r="E128" i="6"/>
  <c r="G128" i="6" s="1"/>
  <c r="I128" i="6" l="1"/>
  <c r="E119" i="11" s="1"/>
  <c r="F119" i="11" s="1"/>
  <c r="D125" i="11"/>
  <c r="H129" i="6"/>
  <c r="D129" i="6"/>
  <c r="C129" i="6" s="1"/>
  <c r="F130" i="6" s="1"/>
  <c r="E129" i="6"/>
  <c r="G129" i="6" s="1"/>
  <c r="I129" i="6" l="1"/>
  <c r="E120" i="11" s="1"/>
  <c r="F120" i="11" s="1"/>
  <c r="D126" i="11"/>
  <c r="H130" i="6"/>
  <c r="D130" i="6"/>
  <c r="C130" i="6" s="1"/>
  <c r="F131" i="6" s="1"/>
  <c r="E130" i="6"/>
  <c r="G130" i="6" s="1"/>
  <c r="I130" i="6" l="1"/>
  <c r="E121" i="11" s="1"/>
  <c r="F121" i="11" s="1"/>
  <c r="D127" i="11"/>
  <c r="H131" i="6"/>
  <c r="D131" i="6"/>
  <c r="C131" i="6" s="1"/>
  <c r="F132" i="6" s="1"/>
  <c r="E131" i="6"/>
  <c r="G131" i="6" s="1"/>
  <c r="I131" i="6" l="1"/>
  <c r="E122" i="11" s="1"/>
  <c r="F122" i="11" s="1"/>
  <c r="D128" i="11"/>
  <c r="H132" i="6"/>
  <c r="D132" i="6"/>
  <c r="C132" i="6" s="1"/>
  <c r="F133" i="6" s="1"/>
  <c r="E132" i="6"/>
  <c r="G132" i="6" s="1"/>
  <c r="D129" i="11" l="1"/>
  <c r="I132" i="6"/>
  <c r="E123" i="11" s="1"/>
  <c r="F123" i="11" s="1"/>
  <c r="H133" i="6"/>
  <c r="D133" i="6"/>
  <c r="C133" i="6" s="1"/>
  <c r="F134" i="6" s="1"/>
  <c r="E133" i="6"/>
  <c r="G133" i="6" s="1"/>
  <c r="D130" i="11" l="1"/>
  <c r="I133" i="6"/>
  <c r="E124" i="11" s="1"/>
  <c r="F124" i="11" s="1"/>
  <c r="H134" i="6"/>
  <c r="D134" i="6"/>
  <c r="C134" i="6" s="1"/>
  <c r="F135" i="6" s="1"/>
  <c r="E134" i="6"/>
  <c r="G134" i="6" s="1"/>
  <c r="I134" i="6" l="1"/>
  <c r="E125" i="11" s="1"/>
  <c r="F125" i="11" s="1"/>
  <c r="D131" i="11"/>
  <c r="H135" i="6"/>
  <c r="D135" i="6"/>
  <c r="C135" i="6" s="1"/>
  <c r="F136" i="6" s="1"/>
  <c r="E135" i="6"/>
  <c r="G135" i="6" s="1"/>
  <c r="I135" i="6" l="1"/>
  <c r="E126" i="11" s="1"/>
  <c r="F126" i="11" s="1"/>
  <c r="D132" i="11"/>
  <c r="H136" i="6"/>
  <c r="D136" i="6"/>
  <c r="C136" i="6" s="1"/>
  <c r="F137" i="6" s="1"/>
  <c r="E136" i="6"/>
  <c r="G136" i="6" s="1"/>
  <c r="I136" i="6" l="1"/>
  <c r="E127" i="11" s="1"/>
  <c r="F127" i="11" s="1"/>
  <c r="D133" i="11"/>
  <c r="H137" i="6"/>
  <c r="D137" i="6"/>
  <c r="C137" i="6" s="1"/>
  <c r="F138" i="6" s="1"/>
  <c r="E137" i="6"/>
  <c r="G137" i="6" s="1"/>
  <c r="I137" i="6" l="1"/>
  <c r="E128" i="11" s="1"/>
  <c r="F128" i="11" s="1"/>
  <c r="D134" i="11"/>
  <c r="H138" i="6"/>
  <c r="D138" i="6"/>
  <c r="C138" i="6" s="1"/>
  <c r="F139" i="6" s="1"/>
  <c r="E138" i="6"/>
  <c r="G138" i="6" s="1"/>
  <c r="D135" i="11" l="1"/>
  <c r="I138" i="6"/>
  <c r="E129" i="11" s="1"/>
  <c r="F129" i="11" s="1"/>
  <c r="H139" i="6"/>
  <c r="D139" i="6"/>
  <c r="C139" i="6" s="1"/>
  <c r="F140" i="6" s="1"/>
  <c r="E139" i="6"/>
  <c r="G139" i="6" s="1"/>
  <c r="D136" i="11" l="1"/>
  <c r="I139" i="6"/>
  <c r="E130" i="11" s="1"/>
  <c r="F130" i="11" s="1"/>
  <c r="H140" i="6"/>
  <c r="D140" i="6"/>
  <c r="C140" i="6" s="1"/>
  <c r="F141" i="6" s="1"/>
  <c r="E140" i="6"/>
  <c r="G140" i="6" s="1"/>
  <c r="I140" i="6" l="1"/>
  <c r="E131" i="11" s="1"/>
  <c r="F131" i="11" s="1"/>
  <c r="D137" i="11"/>
  <c r="H141" i="6"/>
  <c r="D141" i="6"/>
  <c r="C141" i="6" s="1"/>
  <c r="F142" i="6" s="1"/>
  <c r="E141" i="6"/>
  <c r="G141" i="6" s="1"/>
  <c r="D138" i="11" l="1"/>
  <c r="I141" i="6"/>
  <c r="E132" i="11" s="1"/>
  <c r="F132" i="11" s="1"/>
  <c r="H142" i="6"/>
  <c r="D142" i="6"/>
  <c r="C142" i="6" s="1"/>
  <c r="F143" i="6" s="1"/>
  <c r="E142" i="6"/>
  <c r="G142" i="6" s="1"/>
  <c r="D139" i="11" l="1"/>
  <c r="I142" i="6"/>
  <c r="E133" i="11" s="1"/>
  <c r="F133" i="11" s="1"/>
  <c r="H143" i="6"/>
  <c r="D143" i="6"/>
  <c r="C143" i="6" s="1"/>
  <c r="F144" i="6" s="1"/>
  <c r="E143" i="6"/>
  <c r="G143" i="6" s="1"/>
  <c r="D140" i="11" l="1"/>
  <c r="I143" i="6"/>
  <c r="E134" i="11" s="1"/>
  <c r="F134" i="11" s="1"/>
  <c r="H144" i="6"/>
  <c r="D144" i="6"/>
  <c r="C144" i="6" s="1"/>
  <c r="F145" i="6" s="1"/>
  <c r="E144" i="6"/>
  <c r="G144" i="6" s="1"/>
  <c r="D141" i="11" l="1"/>
  <c r="I144" i="6"/>
  <c r="E135" i="11" s="1"/>
  <c r="F135" i="11" s="1"/>
  <c r="H145" i="6"/>
  <c r="D145" i="6"/>
  <c r="C145" i="6" s="1"/>
  <c r="F146" i="6" s="1"/>
  <c r="E145" i="6"/>
  <c r="G145" i="6" s="1"/>
  <c r="D142" i="11" l="1"/>
  <c r="I145" i="6"/>
  <c r="E136" i="11" s="1"/>
  <c r="F136" i="11" s="1"/>
  <c r="H146" i="6"/>
  <c r="D146" i="6"/>
  <c r="C146" i="6" s="1"/>
  <c r="F147" i="6" s="1"/>
  <c r="E146" i="6"/>
  <c r="G146" i="6" s="1"/>
  <c r="D143" i="11" l="1"/>
  <c r="I146" i="6"/>
  <c r="E137" i="11" s="1"/>
  <c r="F137" i="11" s="1"/>
  <c r="H147" i="6"/>
  <c r="D147" i="6"/>
  <c r="C147" i="6" s="1"/>
  <c r="F148" i="6" s="1"/>
  <c r="E147" i="6"/>
  <c r="G147" i="6" s="1"/>
  <c r="D144" i="11" l="1"/>
  <c r="I147" i="6"/>
  <c r="E138" i="11" s="1"/>
  <c r="F138" i="11" s="1"/>
  <c r="H148" i="6"/>
  <c r="D148" i="6"/>
  <c r="C148" i="6" s="1"/>
  <c r="F149" i="6" s="1"/>
  <c r="E148" i="6"/>
  <c r="G148" i="6" s="1"/>
  <c r="I148" i="6" l="1"/>
  <c r="E139" i="11" s="1"/>
  <c r="F139" i="11" s="1"/>
  <c r="D145" i="11"/>
  <c r="H149" i="6"/>
  <c r="D149" i="6"/>
  <c r="C149" i="6" s="1"/>
  <c r="F150" i="6" s="1"/>
  <c r="E149" i="6"/>
  <c r="G149" i="6" s="1"/>
  <c r="D146" i="11" l="1"/>
  <c r="I149" i="6"/>
  <c r="E140" i="11" s="1"/>
  <c r="F140" i="11" s="1"/>
  <c r="H150" i="6"/>
  <c r="D150" i="6"/>
  <c r="C150" i="6" s="1"/>
  <c r="F151" i="6" s="1"/>
  <c r="E150" i="6"/>
  <c r="G150" i="6" s="1"/>
  <c r="D147" i="11" l="1"/>
  <c r="I150" i="6"/>
  <c r="E141" i="11" s="1"/>
  <c r="F141" i="11" s="1"/>
  <c r="H151" i="6"/>
  <c r="D151" i="6"/>
  <c r="C151" i="6" s="1"/>
  <c r="F152" i="6" s="1"/>
  <c r="E151" i="6"/>
  <c r="G151" i="6" s="1"/>
  <c r="D148" i="11" l="1"/>
  <c r="I151" i="6"/>
  <c r="E142" i="11" s="1"/>
  <c r="F142" i="11" s="1"/>
  <c r="H152" i="6"/>
  <c r="D152" i="6"/>
  <c r="C152" i="6" s="1"/>
  <c r="F153" i="6" s="1"/>
  <c r="E152" i="6"/>
  <c r="G152" i="6" s="1"/>
  <c r="D149" i="11" l="1"/>
  <c r="I152" i="6"/>
  <c r="E143" i="11" s="1"/>
  <c r="F143" i="11" s="1"/>
  <c r="H153" i="6"/>
  <c r="D153" i="6"/>
  <c r="C153" i="6" s="1"/>
  <c r="F154" i="6" s="1"/>
  <c r="E153" i="6"/>
  <c r="G153" i="6" s="1"/>
  <c r="D150" i="11" l="1"/>
  <c r="I153" i="6"/>
  <c r="E144" i="11" s="1"/>
  <c r="F144" i="11" s="1"/>
  <c r="H154" i="6"/>
  <c r="D154" i="6"/>
  <c r="C154" i="6" s="1"/>
  <c r="F155" i="6" s="1"/>
  <c r="E154" i="6"/>
  <c r="G154" i="6" s="1"/>
  <c r="D151" i="11" l="1"/>
  <c r="I154" i="6"/>
  <c r="E145" i="11" s="1"/>
  <c r="F145" i="11" s="1"/>
  <c r="H155" i="6"/>
  <c r="D155" i="6"/>
  <c r="C155" i="6" s="1"/>
  <c r="F156" i="6" s="1"/>
  <c r="E155" i="6"/>
  <c r="G155" i="6" s="1"/>
  <c r="D152" i="11" l="1"/>
  <c r="I155" i="6"/>
  <c r="E146" i="11" s="1"/>
  <c r="F146" i="11" s="1"/>
  <c r="H156" i="6"/>
  <c r="D156" i="6"/>
  <c r="C156" i="6" s="1"/>
  <c r="F157" i="6" s="1"/>
  <c r="E156" i="6"/>
  <c r="G156" i="6" s="1"/>
  <c r="D153" i="11" l="1"/>
  <c r="I156" i="6"/>
  <c r="E147" i="11" s="1"/>
  <c r="F147" i="11" s="1"/>
  <c r="H157" i="6"/>
  <c r="D157" i="6"/>
  <c r="C157" i="6" s="1"/>
  <c r="F158" i="6" s="1"/>
  <c r="E157" i="6"/>
  <c r="G157" i="6" s="1"/>
  <c r="D154" i="11" l="1"/>
  <c r="I157" i="6"/>
  <c r="E148" i="11" s="1"/>
  <c r="F148" i="11" s="1"/>
  <c r="H158" i="6"/>
  <c r="D158" i="6"/>
  <c r="C158" i="6" s="1"/>
  <c r="F159" i="6" s="1"/>
  <c r="E158" i="6"/>
  <c r="G158" i="6" s="1"/>
  <c r="D155" i="11" l="1"/>
  <c r="I158" i="6"/>
  <c r="E149" i="11" s="1"/>
  <c r="F149" i="11" s="1"/>
  <c r="H159" i="6"/>
  <c r="D159" i="6"/>
  <c r="C159" i="6" s="1"/>
  <c r="F160" i="6" s="1"/>
  <c r="E159" i="6"/>
  <c r="G159" i="6" s="1"/>
  <c r="I159" i="6" l="1"/>
  <c r="E150" i="11" s="1"/>
  <c r="F150" i="11" s="1"/>
  <c r="D156" i="11"/>
  <c r="H160" i="6"/>
  <c r="D160" i="6"/>
  <c r="C160" i="6" s="1"/>
  <c r="F161" i="6" s="1"/>
  <c r="E160" i="6"/>
  <c r="G160" i="6" s="1"/>
  <c r="I160" i="6" l="1"/>
  <c r="E151" i="11" s="1"/>
  <c r="F151" i="11" s="1"/>
  <c r="D157" i="11"/>
  <c r="H161" i="6"/>
  <c r="D161" i="6"/>
  <c r="C161" i="6" s="1"/>
  <c r="F162" i="6" s="1"/>
  <c r="E161" i="6"/>
  <c r="G161" i="6" s="1"/>
  <c r="I161" i="6" l="1"/>
  <c r="E152" i="11" s="1"/>
  <c r="F152" i="11" s="1"/>
  <c r="D158" i="11"/>
  <c r="H162" i="6"/>
  <c r="D162" i="6"/>
  <c r="C162" i="6" s="1"/>
  <c r="F163" i="6" s="1"/>
  <c r="E162" i="6"/>
  <c r="G162" i="6" s="1"/>
  <c r="I162" i="6" s="1"/>
  <c r="E153" i="11" s="1"/>
  <c r="F153" i="11" s="1"/>
  <c r="D159" i="11" l="1"/>
  <c r="H163" i="6"/>
  <c r="D163" i="6"/>
  <c r="C163" i="6" s="1"/>
  <c r="F164" i="6" s="1"/>
  <c r="E163" i="6"/>
  <c r="G163" i="6" s="1"/>
  <c r="I163" i="6" l="1"/>
  <c r="E154" i="11" s="1"/>
  <c r="F154" i="11" s="1"/>
  <c r="D160" i="11"/>
  <c r="H164" i="6"/>
  <c r="D164" i="6"/>
  <c r="C164" i="6" s="1"/>
  <c r="F165" i="6" s="1"/>
  <c r="E164" i="6"/>
  <c r="G164" i="6" s="1"/>
  <c r="I164" i="6" l="1"/>
  <c r="E155" i="11" s="1"/>
  <c r="F155" i="11" s="1"/>
  <c r="D161" i="11"/>
  <c r="H165" i="6"/>
  <c r="D165" i="6"/>
  <c r="C165" i="6" s="1"/>
  <c r="F166" i="6" s="1"/>
  <c r="E165" i="6"/>
  <c r="G165" i="6" s="1"/>
  <c r="I165" i="6" l="1"/>
  <c r="E156" i="11" s="1"/>
  <c r="F156" i="11" s="1"/>
  <c r="D162" i="11"/>
  <c r="H166" i="6"/>
  <c r="D166" i="6"/>
  <c r="C166" i="6" s="1"/>
  <c r="F167" i="6" s="1"/>
  <c r="E166" i="6"/>
  <c r="G166" i="6" s="1"/>
  <c r="I166" i="6" l="1"/>
  <c r="E157" i="11" s="1"/>
  <c r="F157" i="11" s="1"/>
  <c r="D163" i="11"/>
  <c r="H167" i="6"/>
  <c r="D167" i="6"/>
  <c r="C167" i="6" s="1"/>
  <c r="F168" i="6" s="1"/>
  <c r="E167" i="6"/>
  <c r="G167" i="6" s="1"/>
  <c r="I167" i="6" l="1"/>
  <c r="E158" i="11" s="1"/>
  <c r="F158" i="11" s="1"/>
  <c r="D164" i="11"/>
  <c r="H168" i="6"/>
  <c r="D168" i="6"/>
  <c r="C168" i="6" s="1"/>
  <c r="F169" i="6" s="1"/>
  <c r="E168" i="6"/>
  <c r="G168" i="6" s="1"/>
  <c r="D165" i="11" l="1"/>
  <c r="I168" i="6"/>
  <c r="E159" i="11" s="1"/>
  <c r="F159" i="11" s="1"/>
  <c r="H169" i="6"/>
  <c r="D169" i="6"/>
  <c r="C169" i="6" s="1"/>
  <c r="F170" i="6" s="1"/>
  <c r="E169" i="6"/>
  <c r="G169" i="6" s="1"/>
  <c r="D166" i="11" l="1"/>
  <c r="I169" i="6"/>
  <c r="E160" i="11" s="1"/>
  <c r="F160" i="11" s="1"/>
  <c r="H170" i="6"/>
  <c r="D170" i="6"/>
  <c r="C170" i="6" s="1"/>
  <c r="F171" i="6" s="1"/>
  <c r="E170" i="6"/>
  <c r="G170" i="6" s="1"/>
  <c r="D167" i="11" l="1"/>
  <c r="I170" i="6"/>
  <c r="E161" i="11" s="1"/>
  <c r="F161" i="11" s="1"/>
  <c r="H171" i="6"/>
  <c r="D171" i="6"/>
  <c r="C171" i="6" s="1"/>
  <c r="F172" i="6" s="1"/>
  <c r="E171" i="6"/>
  <c r="G171" i="6" s="1"/>
  <c r="D168" i="11" l="1"/>
  <c r="I171" i="6"/>
  <c r="E162" i="11" s="1"/>
  <c r="F162" i="11" s="1"/>
  <c r="H172" i="6"/>
  <c r="D172" i="6"/>
  <c r="C172" i="6" s="1"/>
  <c r="F173" i="6" s="1"/>
  <c r="E172" i="6"/>
  <c r="G172" i="6" s="1"/>
  <c r="D169" i="11" l="1"/>
  <c r="I172" i="6"/>
  <c r="E163" i="11" s="1"/>
  <c r="F163" i="11" s="1"/>
  <c r="H173" i="6"/>
  <c r="D173" i="6"/>
  <c r="C173" i="6" s="1"/>
  <c r="F174" i="6" s="1"/>
  <c r="E173" i="6"/>
  <c r="G173" i="6" s="1"/>
  <c r="D170" i="11" l="1"/>
  <c r="I173" i="6"/>
  <c r="E164" i="11" s="1"/>
  <c r="F164" i="11" s="1"/>
  <c r="H174" i="6"/>
  <c r="D174" i="6"/>
  <c r="C174" i="6" s="1"/>
  <c r="F175" i="6" s="1"/>
  <c r="E174" i="6"/>
  <c r="G174" i="6" s="1"/>
  <c r="D171" i="11" l="1"/>
  <c r="I174" i="6"/>
  <c r="E165" i="11" s="1"/>
  <c r="F165" i="11" s="1"/>
  <c r="H175" i="6"/>
  <c r="D175" i="6"/>
  <c r="C175" i="6" s="1"/>
  <c r="F176" i="6" s="1"/>
  <c r="E175" i="6"/>
  <c r="G175" i="6" s="1"/>
  <c r="D172" i="11" l="1"/>
  <c r="I175" i="6"/>
  <c r="E166" i="11" s="1"/>
  <c r="F166" i="11" s="1"/>
  <c r="H176" i="6"/>
  <c r="D176" i="6"/>
  <c r="C176" i="6" s="1"/>
  <c r="F177" i="6" s="1"/>
  <c r="E176" i="6"/>
  <c r="G176" i="6" s="1"/>
  <c r="D173" i="11" l="1"/>
  <c r="I176" i="6"/>
  <c r="E167" i="11" s="1"/>
  <c r="F167" i="11" s="1"/>
  <c r="H177" i="6"/>
  <c r="D177" i="6"/>
  <c r="C177" i="6" s="1"/>
  <c r="F178" i="6" s="1"/>
  <c r="E177" i="6"/>
  <c r="G177" i="6" s="1"/>
  <c r="D174" i="11" l="1"/>
  <c r="I177" i="6"/>
  <c r="E168" i="11" s="1"/>
  <c r="F168" i="11" s="1"/>
  <c r="H178" i="6"/>
  <c r="D178" i="6"/>
  <c r="C178" i="6" s="1"/>
  <c r="F179" i="6" s="1"/>
  <c r="E178" i="6"/>
  <c r="G178" i="6" s="1"/>
  <c r="D175" i="11" l="1"/>
  <c r="I178" i="6"/>
  <c r="E169" i="11" s="1"/>
  <c r="F169" i="11" s="1"/>
  <c r="H179" i="6"/>
  <c r="D179" i="6"/>
  <c r="C179" i="6" s="1"/>
  <c r="F180" i="6" s="1"/>
  <c r="E179" i="6"/>
  <c r="G179" i="6" s="1"/>
  <c r="D176" i="11" l="1"/>
  <c r="I179" i="6"/>
  <c r="E170" i="11" s="1"/>
  <c r="F170" i="11" s="1"/>
  <c r="H180" i="6"/>
  <c r="D180" i="6"/>
  <c r="C180" i="6" s="1"/>
  <c r="F181" i="6" s="1"/>
  <c r="E180" i="6"/>
  <c r="G180" i="6" s="1"/>
  <c r="D177" i="11" l="1"/>
  <c r="I180" i="6"/>
  <c r="E171" i="11" s="1"/>
  <c r="F171" i="11" s="1"/>
  <c r="H181" i="6"/>
  <c r="D181" i="6"/>
  <c r="C181" i="6" s="1"/>
  <c r="F182" i="6" s="1"/>
  <c r="E181" i="6"/>
  <c r="G181" i="6" s="1"/>
  <c r="D178" i="11" l="1"/>
  <c r="I181" i="6"/>
  <c r="E172" i="11" s="1"/>
  <c r="F172" i="11" s="1"/>
  <c r="H182" i="6"/>
  <c r="D182" i="6"/>
  <c r="C182" i="6" s="1"/>
  <c r="F183" i="6" s="1"/>
  <c r="E182" i="6"/>
  <c r="G182" i="6" s="1"/>
  <c r="D179" i="11" l="1"/>
  <c r="I182" i="6"/>
  <c r="E173" i="11" s="1"/>
  <c r="F173" i="11" s="1"/>
  <c r="H183" i="6"/>
  <c r="D183" i="6"/>
  <c r="C183" i="6" s="1"/>
  <c r="F184" i="6" s="1"/>
  <c r="E183" i="6"/>
  <c r="G183" i="6" s="1"/>
  <c r="D180" i="11" l="1"/>
  <c r="I183" i="6"/>
  <c r="E174" i="11" s="1"/>
  <c r="F174" i="11" s="1"/>
  <c r="H184" i="6"/>
  <c r="D184" i="6"/>
  <c r="C184" i="6" s="1"/>
  <c r="F185" i="6" s="1"/>
  <c r="E184" i="6"/>
  <c r="G184" i="6" s="1"/>
  <c r="D181" i="11" l="1"/>
  <c r="I184" i="6"/>
  <c r="E175" i="11" s="1"/>
  <c r="F175" i="11" s="1"/>
  <c r="H185" i="6"/>
  <c r="D185" i="6"/>
  <c r="C185" i="6" s="1"/>
  <c r="F186" i="6" s="1"/>
  <c r="E185" i="6"/>
  <c r="G185" i="6" s="1"/>
  <c r="D182" i="11" l="1"/>
  <c r="I185" i="6"/>
  <c r="E176" i="11" s="1"/>
  <c r="F176" i="11" s="1"/>
  <c r="H186" i="6"/>
  <c r="D186" i="6"/>
  <c r="C186" i="6" s="1"/>
  <c r="F187" i="6" s="1"/>
  <c r="E186" i="6"/>
  <c r="G186" i="6" s="1"/>
  <c r="D183" i="11" l="1"/>
  <c r="I186" i="6"/>
  <c r="E177" i="11" s="1"/>
  <c r="F177" i="11" s="1"/>
  <c r="H187" i="6"/>
  <c r="D187" i="6"/>
  <c r="C187" i="6" s="1"/>
  <c r="F188" i="6" s="1"/>
  <c r="E187" i="6"/>
  <c r="G187" i="6" s="1"/>
  <c r="D184" i="11" l="1"/>
  <c r="I187" i="6"/>
  <c r="E178" i="11" s="1"/>
  <c r="F178" i="11" s="1"/>
  <c r="H188" i="6"/>
  <c r="D188" i="6"/>
  <c r="C188" i="6" s="1"/>
  <c r="F189" i="6" s="1"/>
  <c r="E188" i="6"/>
  <c r="G188" i="6" s="1"/>
  <c r="D185" i="11" l="1"/>
  <c r="I188" i="6"/>
  <c r="E179" i="11" s="1"/>
  <c r="F179" i="11" s="1"/>
  <c r="H189" i="6"/>
  <c r="D189" i="6"/>
  <c r="C189" i="6" s="1"/>
  <c r="F190" i="6" s="1"/>
  <c r="E189" i="6"/>
  <c r="G189" i="6" s="1"/>
  <c r="D186" i="11" l="1"/>
  <c r="I189" i="6"/>
  <c r="E180" i="11" s="1"/>
  <c r="F180" i="11" s="1"/>
  <c r="H190" i="6"/>
  <c r="D190" i="6"/>
  <c r="C190" i="6" s="1"/>
  <c r="F191" i="6" s="1"/>
  <c r="E190" i="6"/>
  <c r="G190" i="6" s="1"/>
  <c r="D187" i="11" l="1"/>
  <c r="I190" i="6"/>
  <c r="E181" i="11" s="1"/>
  <c r="F181" i="11" s="1"/>
  <c r="H191" i="6"/>
  <c r="D191" i="6"/>
  <c r="C191" i="6" s="1"/>
  <c r="F192" i="6" s="1"/>
  <c r="E191" i="6"/>
  <c r="G191" i="6" s="1"/>
  <c r="D188" i="11" l="1"/>
  <c r="I191" i="6"/>
  <c r="E182" i="11" s="1"/>
  <c r="F182" i="11" s="1"/>
  <c r="H192" i="6"/>
  <c r="D192" i="6"/>
  <c r="C192" i="6" s="1"/>
  <c r="F193" i="6" s="1"/>
  <c r="E192" i="6"/>
  <c r="G192" i="6" s="1"/>
  <c r="D189" i="11" l="1"/>
  <c r="I192" i="6"/>
  <c r="E183" i="11" s="1"/>
  <c r="F183" i="11" s="1"/>
  <c r="H193" i="6"/>
  <c r="D193" i="6"/>
  <c r="C193" i="6" s="1"/>
  <c r="F194" i="6" s="1"/>
  <c r="E193" i="6"/>
  <c r="G193" i="6" s="1"/>
  <c r="D190" i="11" l="1"/>
  <c r="I193" i="6"/>
  <c r="E184" i="11" s="1"/>
  <c r="F184" i="11" s="1"/>
  <c r="H194" i="6"/>
  <c r="D194" i="6"/>
  <c r="C194" i="6" s="1"/>
  <c r="F195" i="6" s="1"/>
  <c r="E194" i="6"/>
  <c r="G194" i="6" s="1"/>
  <c r="D191" i="11" l="1"/>
  <c r="I194" i="6"/>
  <c r="E185" i="11" s="1"/>
  <c r="F185" i="11" s="1"/>
  <c r="H195" i="6"/>
  <c r="D195" i="6"/>
  <c r="C195" i="6" s="1"/>
  <c r="F196" i="6" s="1"/>
  <c r="E195" i="6"/>
  <c r="G195" i="6" s="1"/>
  <c r="D192" i="11" l="1"/>
  <c r="I195" i="6"/>
  <c r="E186" i="11" s="1"/>
  <c r="F186" i="11" s="1"/>
  <c r="H196" i="6"/>
  <c r="D196" i="6"/>
  <c r="C196" i="6" s="1"/>
  <c r="F197" i="6" s="1"/>
  <c r="E196" i="6"/>
  <c r="G196" i="6" s="1"/>
  <c r="D193" i="11" l="1"/>
  <c r="I196" i="6"/>
  <c r="E187" i="11" s="1"/>
  <c r="F187" i="11" s="1"/>
  <c r="H197" i="6"/>
  <c r="D197" i="6"/>
  <c r="C197" i="6" s="1"/>
  <c r="F198" i="6" s="1"/>
  <c r="E197" i="6"/>
  <c r="G197" i="6" s="1"/>
  <c r="D194" i="11" l="1"/>
  <c r="I197" i="6"/>
  <c r="E188" i="11" s="1"/>
  <c r="F188" i="11" s="1"/>
  <c r="H198" i="6"/>
  <c r="D198" i="6"/>
  <c r="C198" i="6" s="1"/>
  <c r="F199" i="6" s="1"/>
  <c r="E198" i="6"/>
  <c r="G198" i="6" s="1"/>
  <c r="I198" i="6" l="1"/>
  <c r="E189" i="11" s="1"/>
  <c r="F189" i="11" s="1"/>
  <c r="D195" i="11"/>
  <c r="H199" i="6"/>
  <c r="D199" i="6"/>
  <c r="C199" i="6" s="1"/>
  <c r="F200" i="6" s="1"/>
  <c r="E199" i="6"/>
  <c r="G199" i="6" s="1"/>
  <c r="D196" i="11" l="1"/>
  <c r="I199" i="6"/>
  <c r="E190" i="11" s="1"/>
  <c r="F190" i="11" s="1"/>
  <c r="H200" i="6"/>
  <c r="D200" i="6"/>
  <c r="C200" i="6" s="1"/>
  <c r="F201" i="6" s="1"/>
  <c r="E200" i="6"/>
  <c r="G200" i="6" s="1"/>
  <c r="D197" i="11" l="1"/>
  <c r="I200" i="6"/>
  <c r="E191" i="11" s="1"/>
  <c r="F191" i="11" s="1"/>
  <c r="H201" i="6"/>
  <c r="D201" i="6"/>
  <c r="C201" i="6" s="1"/>
  <c r="F202" i="6" s="1"/>
  <c r="E201" i="6"/>
  <c r="G201" i="6" s="1"/>
  <c r="D198" i="11" l="1"/>
  <c r="I201" i="6"/>
  <c r="E192" i="11" s="1"/>
  <c r="F192" i="11" s="1"/>
  <c r="H202" i="6"/>
  <c r="D202" i="6"/>
  <c r="C202" i="6" s="1"/>
  <c r="F203" i="6" s="1"/>
  <c r="E202" i="6"/>
  <c r="G202" i="6" s="1"/>
  <c r="D199" i="11" l="1"/>
  <c r="I202" i="6"/>
  <c r="E193" i="11" s="1"/>
  <c r="F193" i="11" s="1"/>
  <c r="H203" i="6"/>
  <c r="D203" i="6"/>
  <c r="C203" i="6" s="1"/>
  <c r="F204" i="6" s="1"/>
  <c r="E203" i="6"/>
  <c r="G203" i="6" s="1"/>
  <c r="D200" i="11" l="1"/>
  <c r="I203" i="6"/>
  <c r="E194" i="11" s="1"/>
  <c r="F194" i="11" s="1"/>
  <c r="H204" i="6"/>
  <c r="D204" i="6"/>
  <c r="C204" i="6" s="1"/>
  <c r="F205" i="6" s="1"/>
  <c r="E204" i="6"/>
  <c r="G204" i="6" s="1"/>
  <c r="D201" i="11" l="1"/>
  <c r="I204" i="6"/>
  <c r="E195" i="11" s="1"/>
  <c r="F195" i="11" s="1"/>
  <c r="H205" i="6"/>
  <c r="D205" i="6"/>
  <c r="C205" i="6" s="1"/>
  <c r="F206" i="6" s="1"/>
  <c r="E205" i="6"/>
  <c r="G205" i="6" s="1"/>
  <c r="D202" i="11" l="1"/>
  <c r="I205" i="6"/>
  <c r="E196" i="11" s="1"/>
  <c r="F196" i="11" s="1"/>
  <c r="H206" i="6"/>
  <c r="D206" i="6"/>
  <c r="C206" i="6" s="1"/>
  <c r="F207" i="6" s="1"/>
  <c r="E206" i="6"/>
  <c r="G206" i="6" s="1"/>
  <c r="D203" i="11" l="1"/>
  <c r="I206" i="6"/>
  <c r="E197" i="11" s="1"/>
  <c r="F197" i="11" s="1"/>
  <c r="H207" i="6"/>
  <c r="D207" i="6"/>
  <c r="C207" i="6" s="1"/>
  <c r="F208" i="6" s="1"/>
  <c r="E207" i="6"/>
  <c r="G207" i="6" s="1"/>
  <c r="D204" i="11" l="1"/>
  <c r="I207" i="6"/>
  <c r="E198" i="11" s="1"/>
  <c r="F198" i="11" s="1"/>
  <c r="H208" i="6"/>
  <c r="D208" i="6"/>
  <c r="C208" i="6" s="1"/>
  <c r="F209" i="6" s="1"/>
  <c r="E208" i="6"/>
  <c r="G208" i="6" s="1"/>
  <c r="D205" i="11" l="1"/>
  <c r="I208" i="6"/>
  <c r="E199" i="11" s="1"/>
  <c r="F199" i="11" s="1"/>
  <c r="H209" i="6"/>
  <c r="D209" i="6"/>
  <c r="C209" i="6" s="1"/>
  <c r="F210" i="6" s="1"/>
  <c r="E209" i="6"/>
  <c r="G209" i="6" s="1"/>
  <c r="D206" i="11" l="1"/>
  <c r="I209" i="6"/>
  <c r="E200" i="11" s="1"/>
  <c r="F200" i="11" s="1"/>
  <c r="H210" i="6"/>
  <c r="D210" i="6"/>
  <c r="C210" i="6" s="1"/>
  <c r="F211" i="6" s="1"/>
  <c r="E210" i="6"/>
  <c r="G210" i="6" s="1"/>
  <c r="D207" i="11" l="1"/>
  <c r="I210" i="6"/>
  <c r="E201" i="11" s="1"/>
  <c r="F201" i="11" s="1"/>
  <c r="H211" i="6"/>
  <c r="D211" i="6"/>
  <c r="C211" i="6" s="1"/>
  <c r="F212" i="6" s="1"/>
  <c r="E211" i="6"/>
  <c r="G211" i="6" s="1"/>
  <c r="D208" i="11" l="1"/>
  <c r="I211" i="6"/>
  <c r="E202" i="11" s="1"/>
  <c r="F202" i="11" s="1"/>
  <c r="H212" i="6"/>
  <c r="D212" i="6"/>
  <c r="C212" i="6" s="1"/>
  <c r="F213" i="6" s="1"/>
  <c r="E212" i="6"/>
  <c r="G212" i="6" s="1"/>
  <c r="D209" i="11" l="1"/>
  <c r="I212" i="6"/>
  <c r="E203" i="11" s="1"/>
  <c r="F203" i="11" s="1"/>
  <c r="H213" i="6"/>
  <c r="D213" i="6"/>
  <c r="C213" i="6" s="1"/>
  <c r="F214" i="6" s="1"/>
  <c r="E213" i="6"/>
  <c r="G213" i="6" s="1"/>
  <c r="D210" i="11" l="1"/>
  <c r="I213" i="6"/>
  <c r="E204" i="11" s="1"/>
  <c r="F204" i="11" s="1"/>
  <c r="H214" i="6"/>
  <c r="D214" i="6"/>
  <c r="C214" i="6" s="1"/>
  <c r="F215" i="6" s="1"/>
  <c r="E214" i="6"/>
  <c r="G214" i="6" s="1"/>
  <c r="D211" i="11" l="1"/>
  <c r="I214" i="6"/>
  <c r="E205" i="11" s="1"/>
  <c r="F205" i="11" s="1"/>
  <c r="H215" i="6"/>
  <c r="D215" i="6"/>
  <c r="C215" i="6" s="1"/>
  <c r="F216" i="6" s="1"/>
  <c r="E215" i="6"/>
  <c r="G215" i="6" s="1"/>
  <c r="D212" i="11" l="1"/>
  <c r="I215" i="6"/>
  <c r="E206" i="11" s="1"/>
  <c r="F206" i="11" s="1"/>
  <c r="H216" i="6"/>
  <c r="D216" i="6"/>
  <c r="C216" i="6" s="1"/>
  <c r="F217" i="6" s="1"/>
  <c r="E216" i="6"/>
  <c r="G216" i="6" s="1"/>
  <c r="D213" i="11" l="1"/>
  <c r="I216" i="6"/>
  <c r="E207" i="11" s="1"/>
  <c r="F207" i="11" s="1"/>
  <c r="H217" i="6"/>
  <c r="D217" i="6"/>
  <c r="C217" i="6" s="1"/>
  <c r="F218" i="6" s="1"/>
  <c r="E217" i="6"/>
  <c r="G217" i="6" s="1"/>
  <c r="D214" i="11" l="1"/>
  <c r="I217" i="6"/>
  <c r="E208" i="11" s="1"/>
  <c r="F208" i="11" s="1"/>
  <c r="H218" i="6"/>
  <c r="D218" i="6"/>
  <c r="C218" i="6" s="1"/>
  <c r="F219" i="6" s="1"/>
  <c r="E218" i="6"/>
  <c r="G218" i="6" s="1"/>
  <c r="D215" i="11" l="1"/>
  <c r="I218" i="6"/>
  <c r="E209" i="11" s="1"/>
  <c r="F209" i="11" s="1"/>
  <c r="H219" i="6"/>
  <c r="D219" i="6"/>
  <c r="C219" i="6" s="1"/>
  <c r="F220" i="6" s="1"/>
  <c r="E219" i="6"/>
  <c r="G219" i="6" s="1"/>
  <c r="D216" i="11" l="1"/>
  <c r="I219" i="6"/>
  <c r="E210" i="11" s="1"/>
  <c r="F210" i="11" s="1"/>
  <c r="H220" i="6"/>
  <c r="D220" i="6"/>
  <c r="C220" i="6" s="1"/>
  <c r="F221" i="6" s="1"/>
  <c r="E220" i="6"/>
  <c r="G220" i="6" s="1"/>
  <c r="D217" i="11" l="1"/>
  <c r="I220" i="6"/>
  <c r="E211" i="11" s="1"/>
  <c r="F211" i="11" s="1"/>
  <c r="H221" i="6"/>
  <c r="D221" i="6"/>
  <c r="C221" i="6" s="1"/>
  <c r="F222" i="6" s="1"/>
  <c r="E221" i="6"/>
  <c r="G221" i="6" s="1"/>
  <c r="D218" i="11" l="1"/>
  <c r="I221" i="6"/>
  <c r="E212" i="11" s="1"/>
  <c r="F212" i="11" s="1"/>
  <c r="H222" i="6"/>
  <c r="D222" i="6"/>
  <c r="C222" i="6" s="1"/>
  <c r="F223" i="6" s="1"/>
  <c r="E222" i="6"/>
  <c r="G222" i="6" s="1"/>
  <c r="D219" i="11" l="1"/>
  <c r="I222" i="6"/>
  <c r="E213" i="11" s="1"/>
  <c r="F213" i="11" s="1"/>
  <c r="H223" i="6"/>
  <c r="D223" i="6"/>
  <c r="C223" i="6" s="1"/>
  <c r="F224" i="6" s="1"/>
  <c r="E223" i="6"/>
  <c r="G223" i="6" s="1"/>
  <c r="D220" i="11" l="1"/>
  <c r="I223" i="6"/>
  <c r="E214" i="11" s="1"/>
  <c r="F214" i="11" s="1"/>
  <c r="H224" i="6"/>
  <c r="D224" i="6"/>
  <c r="C224" i="6" s="1"/>
  <c r="F225" i="6" s="1"/>
  <c r="E224" i="6"/>
  <c r="G224" i="6" s="1"/>
  <c r="D221" i="11" l="1"/>
  <c r="I224" i="6"/>
  <c r="E215" i="11" s="1"/>
  <c r="F215" i="11" s="1"/>
  <c r="H225" i="6"/>
  <c r="D225" i="6"/>
  <c r="C225" i="6" s="1"/>
  <c r="F226" i="6" s="1"/>
  <c r="E225" i="6"/>
  <c r="G225" i="6" s="1"/>
  <c r="D222" i="11" l="1"/>
  <c r="I225" i="6"/>
  <c r="E216" i="11" s="1"/>
  <c r="F216" i="11" s="1"/>
  <c r="H226" i="6"/>
  <c r="D226" i="6"/>
  <c r="C226" i="6" s="1"/>
  <c r="F227" i="6" s="1"/>
  <c r="E226" i="6"/>
  <c r="G226" i="6" s="1"/>
  <c r="D223" i="11" l="1"/>
  <c r="I226" i="6"/>
  <c r="E217" i="11" s="1"/>
  <c r="F217" i="11" s="1"/>
  <c r="H227" i="6"/>
  <c r="D227" i="6"/>
  <c r="C227" i="6" s="1"/>
  <c r="F228" i="6" s="1"/>
  <c r="E227" i="6"/>
  <c r="G227" i="6" s="1"/>
  <c r="D224" i="11" l="1"/>
  <c r="I227" i="6"/>
  <c r="E218" i="11" s="1"/>
  <c r="F218" i="11" s="1"/>
  <c r="H228" i="6"/>
  <c r="D228" i="6"/>
  <c r="C228" i="6" s="1"/>
  <c r="F229" i="6" s="1"/>
  <c r="E228" i="6"/>
  <c r="G228" i="6" s="1"/>
  <c r="D225" i="11" l="1"/>
  <c r="I228" i="6"/>
  <c r="E219" i="11" s="1"/>
  <c r="F219" i="11" s="1"/>
  <c r="H229" i="6"/>
  <c r="D229" i="6"/>
  <c r="C229" i="6" s="1"/>
  <c r="F230" i="6" s="1"/>
  <c r="E229" i="6"/>
  <c r="G229" i="6" s="1"/>
  <c r="I229" i="6" l="1"/>
  <c r="E220" i="11" s="1"/>
  <c r="F220" i="11" s="1"/>
  <c r="D226" i="11"/>
  <c r="H230" i="6"/>
  <c r="D230" i="6"/>
  <c r="C230" i="6" s="1"/>
  <c r="F231" i="6" s="1"/>
  <c r="E230" i="6"/>
  <c r="G230" i="6" s="1"/>
  <c r="I230" i="6" l="1"/>
  <c r="E221" i="11" s="1"/>
  <c r="F221" i="11" s="1"/>
  <c r="D227" i="11"/>
  <c r="H231" i="6"/>
  <c r="D231" i="6"/>
  <c r="C231" i="6" s="1"/>
  <c r="F232" i="6" s="1"/>
  <c r="E231" i="6"/>
  <c r="G231" i="6" s="1"/>
  <c r="I231" i="6" l="1"/>
  <c r="E222" i="11" s="1"/>
  <c r="F222" i="11" s="1"/>
  <c r="D228" i="11"/>
  <c r="H232" i="6"/>
  <c r="D232" i="6"/>
  <c r="C232" i="6" s="1"/>
  <c r="F233" i="6" s="1"/>
  <c r="E232" i="6"/>
  <c r="G232" i="6" s="1"/>
  <c r="I232" i="6" l="1"/>
  <c r="E223" i="11" s="1"/>
  <c r="F223" i="11" s="1"/>
  <c r="D229" i="11"/>
  <c r="H233" i="6"/>
  <c r="D233" i="6"/>
  <c r="C233" i="6" s="1"/>
  <c r="F234" i="6" s="1"/>
  <c r="E233" i="6"/>
  <c r="G233" i="6" s="1"/>
  <c r="D230" i="11" l="1"/>
  <c r="I233" i="6"/>
  <c r="E224" i="11" s="1"/>
  <c r="F224" i="11" s="1"/>
  <c r="H234" i="6"/>
  <c r="D234" i="6"/>
  <c r="C234" i="6" s="1"/>
  <c r="F235" i="6" s="1"/>
  <c r="E234" i="6"/>
  <c r="G234" i="6" s="1"/>
  <c r="D231" i="11" l="1"/>
  <c r="I234" i="6"/>
  <c r="E225" i="11" s="1"/>
  <c r="F225" i="11" s="1"/>
  <c r="H235" i="6"/>
  <c r="D235" i="6"/>
  <c r="C235" i="6" s="1"/>
  <c r="F236" i="6" s="1"/>
  <c r="E235" i="6"/>
  <c r="G235" i="6" s="1"/>
  <c r="D232" i="11" l="1"/>
  <c r="I235" i="6"/>
  <c r="E226" i="11" s="1"/>
  <c r="F226" i="11" s="1"/>
  <c r="H236" i="6"/>
  <c r="D236" i="6"/>
  <c r="C236" i="6" s="1"/>
  <c r="F237" i="6" s="1"/>
  <c r="E236" i="6"/>
  <c r="G236" i="6" s="1"/>
  <c r="D233" i="11" l="1"/>
  <c r="I236" i="6"/>
  <c r="E227" i="11" s="1"/>
  <c r="F227" i="11" s="1"/>
  <c r="H237" i="6"/>
  <c r="D237" i="6"/>
  <c r="C237" i="6" s="1"/>
  <c r="F238" i="6" s="1"/>
  <c r="E237" i="6"/>
  <c r="G237" i="6" s="1"/>
  <c r="D234" i="11" l="1"/>
  <c r="I237" i="6"/>
  <c r="E228" i="11" s="1"/>
  <c r="F228" i="11" s="1"/>
  <c r="H238" i="6"/>
  <c r="D238" i="6"/>
  <c r="C238" i="6" s="1"/>
  <c r="F239" i="6" s="1"/>
  <c r="E238" i="6"/>
  <c r="G238" i="6" s="1"/>
  <c r="D235" i="11" l="1"/>
  <c r="I238" i="6"/>
  <c r="E229" i="11" s="1"/>
  <c r="F229" i="11" s="1"/>
  <c r="H239" i="6"/>
  <c r="D239" i="6"/>
  <c r="C239" i="6" s="1"/>
  <c r="F240" i="6" s="1"/>
  <c r="E239" i="6"/>
  <c r="G239" i="6" s="1"/>
  <c r="D236" i="11" l="1"/>
  <c r="I239" i="6"/>
  <c r="E230" i="11" s="1"/>
  <c r="F230" i="11" s="1"/>
  <c r="H240" i="6"/>
  <c r="D240" i="6"/>
  <c r="C240" i="6" s="1"/>
  <c r="F241" i="6" s="1"/>
  <c r="E240" i="6"/>
  <c r="G240" i="6" s="1"/>
  <c r="D237" i="11" l="1"/>
  <c r="I240" i="6"/>
  <c r="E231" i="11" s="1"/>
  <c r="F231" i="11" s="1"/>
  <c r="H241" i="6"/>
  <c r="D241" i="6"/>
  <c r="C241" i="6" s="1"/>
  <c r="F242" i="6" s="1"/>
  <c r="E241" i="6"/>
  <c r="G241" i="6" s="1"/>
  <c r="D238" i="11" l="1"/>
  <c r="I241" i="6"/>
  <c r="E232" i="11" s="1"/>
  <c r="F232" i="11" s="1"/>
  <c r="H242" i="6"/>
  <c r="D242" i="6"/>
  <c r="C242" i="6" s="1"/>
  <c r="F243" i="6" s="1"/>
  <c r="E242" i="6"/>
  <c r="G242" i="6" s="1"/>
  <c r="D239" i="11" l="1"/>
  <c r="I242" i="6"/>
  <c r="E233" i="11" s="1"/>
  <c r="F233" i="11" s="1"/>
  <c r="H243" i="6"/>
  <c r="D243" i="6"/>
  <c r="C243" i="6" s="1"/>
  <c r="F244" i="6" s="1"/>
  <c r="E243" i="6"/>
  <c r="G243" i="6" s="1"/>
  <c r="D240" i="11" l="1"/>
  <c r="I243" i="6"/>
  <c r="E234" i="11" s="1"/>
  <c r="F234" i="11" s="1"/>
  <c r="H244" i="6"/>
  <c r="D244" i="6"/>
  <c r="C244" i="6" s="1"/>
  <c r="F245" i="6" s="1"/>
  <c r="E244" i="6"/>
  <c r="G244" i="6" s="1"/>
  <c r="D241" i="11" l="1"/>
  <c r="I244" i="6"/>
  <c r="E235" i="11" s="1"/>
  <c r="F235" i="11" s="1"/>
  <c r="H245" i="6"/>
  <c r="D245" i="6"/>
  <c r="C245" i="6" s="1"/>
  <c r="F246" i="6" s="1"/>
  <c r="E245" i="6"/>
  <c r="G245" i="6" s="1"/>
  <c r="D242" i="11" l="1"/>
  <c r="I245" i="6"/>
  <c r="E236" i="11" s="1"/>
  <c r="F236" i="11" s="1"/>
  <c r="H246" i="6"/>
  <c r="D246" i="6"/>
  <c r="C246" i="6" s="1"/>
  <c r="F247" i="6" s="1"/>
  <c r="E246" i="6"/>
  <c r="G246" i="6" s="1"/>
  <c r="D243" i="11" l="1"/>
  <c r="I246" i="6"/>
  <c r="E237" i="11" s="1"/>
  <c r="F237" i="11" s="1"/>
  <c r="H247" i="6"/>
  <c r="D247" i="6"/>
  <c r="C247" i="6" s="1"/>
  <c r="F248" i="6" s="1"/>
  <c r="E247" i="6"/>
  <c r="G247" i="6" s="1"/>
  <c r="D244" i="11" l="1"/>
  <c r="I247" i="6"/>
  <c r="E238" i="11" s="1"/>
  <c r="F238" i="11" s="1"/>
  <c r="H248" i="6"/>
  <c r="D248" i="6"/>
  <c r="C248" i="6" s="1"/>
  <c r="F249" i="6" s="1"/>
  <c r="E248" i="6"/>
  <c r="G248" i="6" s="1"/>
  <c r="D245" i="11" l="1"/>
  <c r="I248" i="6"/>
  <c r="E239" i="11" s="1"/>
  <c r="F239" i="11" s="1"/>
  <c r="H249" i="6"/>
  <c r="D249" i="6"/>
  <c r="C249" i="6" s="1"/>
  <c r="F250" i="6" s="1"/>
  <c r="E249" i="6"/>
  <c r="G249" i="6" s="1"/>
  <c r="D246" i="11" l="1"/>
  <c r="I249" i="6"/>
  <c r="E240" i="11" s="1"/>
  <c r="F240" i="11" s="1"/>
  <c r="H250" i="6"/>
  <c r="D250" i="6"/>
  <c r="C250" i="6" s="1"/>
  <c r="F251" i="6" s="1"/>
  <c r="E250" i="6"/>
  <c r="G250" i="6" s="1"/>
  <c r="D247" i="11" l="1"/>
  <c r="I250" i="6"/>
  <c r="E241" i="11" s="1"/>
  <c r="F241" i="11" s="1"/>
  <c r="H251" i="6"/>
  <c r="D251" i="6"/>
  <c r="C251" i="6" s="1"/>
  <c r="F252" i="6" s="1"/>
  <c r="E251" i="6"/>
  <c r="G251" i="6" s="1"/>
  <c r="D248" i="11" l="1"/>
  <c r="I251" i="6"/>
  <c r="E242" i="11" s="1"/>
  <c r="F242" i="11" s="1"/>
  <c r="H252" i="6"/>
  <c r="D252" i="6"/>
  <c r="C252" i="6" s="1"/>
  <c r="F253" i="6" s="1"/>
  <c r="E252" i="6"/>
  <c r="G252" i="6" s="1"/>
  <c r="D249" i="11" l="1"/>
  <c r="I252" i="6"/>
  <c r="E243" i="11" s="1"/>
  <c r="F243" i="11" s="1"/>
  <c r="H253" i="6"/>
  <c r="D253" i="6"/>
  <c r="C253" i="6" s="1"/>
  <c r="F254" i="6" s="1"/>
  <c r="E253" i="6"/>
  <c r="G253" i="6" s="1"/>
  <c r="D250" i="11" l="1"/>
  <c r="I253" i="6"/>
  <c r="E244" i="11" s="1"/>
  <c r="F244" i="11" s="1"/>
  <c r="H254" i="6"/>
  <c r="D254" i="6"/>
  <c r="C254" i="6" s="1"/>
  <c r="F255" i="6" s="1"/>
  <c r="E254" i="6"/>
  <c r="G254" i="6" s="1"/>
  <c r="D251" i="11" l="1"/>
  <c r="I254" i="6"/>
  <c r="E245" i="11" s="1"/>
  <c r="F245" i="11" s="1"/>
  <c r="H255" i="6"/>
  <c r="D255" i="6"/>
  <c r="C255" i="6" s="1"/>
  <c r="F256" i="6" s="1"/>
  <c r="E255" i="6"/>
  <c r="G255" i="6" s="1"/>
  <c r="D252" i="11" l="1"/>
  <c r="I255" i="6"/>
  <c r="E246" i="11" s="1"/>
  <c r="F246" i="11" s="1"/>
  <c r="H256" i="6"/>
  <c r="D256" i="6"/>
  <c r="C256" i="6" s="1"/>
  <c r="F257" i="6" s="1"/>
  <c r="E256" i="6"/>
  <c r="G256" i="6" s="1"/>
  <c r="D253" i="11" l="1"/>
  <c r="I256" i="6"/>
  <c r="E247" i="11" s="1"/>
  <c r="F247" i="11" s="1"/>
  <c r="H257" i="6"/>
  <c r="D257" i="6"/>
  <c r="C257" i="6" s="1"/>
  <c r="F258" i="6" s="1"/>
  <c r="E257" i="6"/>
  <c r="G257" i="6" s="1"/>
  <c r="D254" i="11" l="1"/>
  <c r="I257" i="6"/>
  <c r="E248" i="11" s="1"/>
  <c r="F248" i="11" s="1"/>
  <c r="H258" i="6"/>
  <c r="D258" i="6"/>
  <c r="C258" i="6" s="1"/>
  <c r="F259" i="6" s="1"/>
  <c r="E258" i="6"/>
  <c r="G258" i="6" s="1"/>
  <c r="D255" i="11" l="1"/>
  <c r="I258" i="6"/>
  <c r="E249" i="11" s="1"/>
  <c r="F249" i="11" s="1"/>
  <c r="H259" i="6"/>
  <c r="D259" i="6"/>
  <c r="C259" i="6" s="1"/>
  <c r="F260" i="6" s="1"/>
  <c r="E259" i="6"/>
  <c r="G259" i="6" s="1"/>
  <c r="D256" i="11" l="1"/>
  <c r="I259" i="6"/>
  <c r="E250" i="11" s="1"/>
  <c r="F250" i="11" s="1"/>
  <c r="H260" i="6"/>
  <c r="D260" i="6"/>
  <c r="C260" i="6" s="1"/>
  <c r="F261" i="6" s="1"/>
  <c r="E260" i="6"/>
  <c r="G260" i="6" s="1"/>
  <c r="D257" i="11" l="1"/>
  <c r="I260" i="6"/>
  <c r="E251" i="11" s="1"/>
  <c r="F251" i="11" s="1"/>
  <c r="H261" i="6"/>
  <c r="D261" i="6"/>
  <c r="C261" i="6" s="1"/>
  <c r="F262" i="6" s="1"/>
  <c r="E261" i="6"/>
  <c r="G261" i="6" s="1"/>
  <c r="D258" i="11" l="1"/>
  <c r="I261" i="6"/>
  <c r="E252" i="11" s="1"/>
  <c r="F252" i="11" s="1"/>
  <c r="H262" i="6"/>
  <c r="D262" i="6"/>
  <c r="C262" i="6" s="1"/>
  <c r="F263" i="6" s="1"/>
  <c r="E262" i="6"/>
  <c r="G262" i="6" s="1"/>
  <c r="D259" i="11" l="1"/>
  <c r="I262" i="6"/>
  <c r="E253" i="11" s="1"/>
  <c r="F253" i="11" s="1"/>
  <c r="H263" i="6"/>
  <c r="D263" i="6"/>
  <c r="C263" i="6" s="1"/>
  <c r="F264" i="6" s="1"/>
  <c r="E263" i="6"/>
  <c r="G263" i="6" s="1"/>
  <c r="D260" i="11" l="1"/>
  <c r="I263" i="6"/>
  <c r="E254" i="11" s="1"/>
  <c r="F254" i="11" s="1"/>
  <c r="H264" i="6"/>
  <c r="D264" i="6"/>
  <c r="C264" i="6" s="1"/>
  <c r="F265" i="6" s="1"/>
  <c r="E264" i="6"/>
  <c r="G264" i="6" s="1"/>
  <c r="D261" i="11" l="1"/>
  <c r="I264" i="6"/>
  <c r="E255" i="11" s="1"/>
  <c r="F255" i="11" s="1"/>
  <c r="H265" i="6"/>
  <c r="D265" i="6"/>
  <c r="C265" i="6" s="1"/>
  <c r="F266" i="6" s="1"/>
  <c r="E265" i="6"/>
  <c r="G265" i="6" s="1"/>
  <c r="D262" i="11" l="1"/>
  <c r="I265" i="6"/>
  <c r="E256" i="11" s="1"/>
  <c r="F256" i="11" s="1"/>
  <c r="H266" i="6"/>
  <c r="D266" i="6"/>
  <c r="C266" i="6" s="1"/>
  <c r="F267" i="6" s="1"/>
  <c r="E266" i="6"/>
  <c r="G266" i="6" s="1"/>
  <c r="D263" i="11" l="1"/>
  <c r="I266" i="6"/>
  <c r="E257" i="11" s="1"/>
  <c r="F257" i="11" s="1"/>
  <c r="H267" i="6"/>
  <c r="D267" i="6"/>
  <c r="C267" i="6" s="1"/>
  <c r="F268" i="6" s="1"/>
  <c r="E267" i="6"/>
  <c r="G267" i="6" s="1"/>
  <c r="D264" i="11" l="1"/>
  <c r="I267" i="6"/>
  <c r="E258" i="11" s="1"/>
  <c r="F258" i="11" s="1"/>
  <c r="H268" i="6"/>
  <c r="D268" i="6"/>
  <c r="C268" i="6" s="1"/>
  <c r="F269" i="6" s="1"/>
  <c r="E268" i="6"/>
  <c r="G268" i="6" s="1"/>
  <c r="D265" i="11" l="1"/>
  <c r="I268" i="6"/>
  <c r="E259" i="11" s="1"/>
  <c r="F259" i="11" s="1"/>
  <c r="H269" i="6"/>
  <c r="D269" i="6"/>
  <c r="C269" i="6" s="1"/>
  <c r="F270" i="6" s="1"/>
  <c r="E269" i="6"/>
  <c r="G269" i="6" s="1"/>
  <c r="D266" i="11" l="1"/>
  <c r="I269" i="6"/>
  <c r="E260" i="11" s="1"/>
  <c r="F260" i="11" s="1"/>
  <c r="H270" i="6"/>
  <c r="D270" i="6"/>
  <c r="C270" i="6" s="1"/>
  <c r="F271" i="6" s="1"/>
  <c r="E270" i="6"/>
  <c r="G270" i="6" s="1"/>
  <c r="D267" i="11" l="1"/>
  <c r="I270" i="6"/>
  <c r="E261" i="11" s="1"/>
  <c r="F261" i="11" s="1"/>
  <c r="H271" i="6"/>
  <c r="D271" i="6"/>
  <c r="C271" i="6" s="1"/>
  <c r="F272" i="6" s="1"/>
  <c r="E271" i="6"/>
  <c r="G271" i="6" s="1"/>
  <c r="D268" i="11" l="1"/>
  <c r="I271" i="6"/>
  <c r="E262" i="11" s="1"/>
  <c r="F262" i="11" s="1"/>
  <c r="H272" i="6"/>
  <c r="D272" i="6"/>
  <c r="C272" i="6" s="1"/>
  <c r="F273" i="6" s="1"/>
  <c r="E272" i="6"/>
  <c r="G272" i="6" s="1"/>
  <c r="D269" i="11" l="1"/>
  <c r="I272" i="6"/>
  <c r="E263" i="11" s="1"/>
  <c r="F263" i="11" s="1"/>
  <c r="H273" i="6"/>
  <c r="D273" i="6"/>
  <c r="C273" i="6" s="1"/>
  <c r="F274" i="6" s="1"/>
  <c r="E273" i="6"/>
  <c r="G273" i="6" s="1"/>
  <c r="D270" i="11" l="1"/>
  <c r="I273" i="6"/>
  <c r="E264" i="11" s="1"/>
  <c r="F264" i="11" s="1"/>
  <c r="H274" i="6"/>
  <c r="D274" i="6"/>
  <c r="C274" i="6" s="1"/>
  <c r="F275" i="6" s="1"/>
  <c r="E274" i="6"/>
  <c r="G274" i="6" s="1"/>
  <c r="D271" i="11" l="1"/>
  <c r="I274" i="6"/>
  <c r="E265" i="11" s="1"/>
  <c r="F265" i="11" s="1"/>
  <c r="H275" i="6"/>
  <c r="D275" i="6"/>
  <c r="C275" i="6" s="1"/>
  <c r="F276" i="6" s="1"/>
  <c r="E275" i="6"/>
  <c r="G275" i="6" s="1"/>
  <c r="D272" i="11" l="1"/>
  <c r="I275" i="6"/>
  <c r="E266" i="11" s="1"/>
  <c r="F266" i="11" s="1"/>
  <c r="H276" i="6"/>
  <c r="D276" i="6"/>
  <c r="C276" i="6" s="1"/>
  <c r="F277" i="6" s="1"/>
  <c r="E276" i="6"/>
  <c r="G276" i="6" s="1"/>
  <c r="D273" i="11" l="1"/>
  <c r="I276" i="6"/>
  <c r="E267" i="11" s="1"/>
  <c r="F267" i="11" s="1"/>
  <c r="H277" i="6"/>
  <c r="D277" i="6"/>
  <c r="C277" i="6" s="1"/>
  <c r="F278" i="6" s="1"/>
  <c r="E277" i="6"/>
  <c r="G277" i="6" s="1"/>
  <c r="D274" i="11" l="1"/>
  <c r="I277" i="6"/>
  <c r="E268" i="11" s="1"/>
  <c r="F268" i="11" s="1"/>
  <c r="H278" i="6"/>
  <c r="D278" i="6"/>
  <c r="C278" i="6" s="1"/>
  <c r="F279" i="6" s="1"/>
  <c r="E278" i="6"/>
  <c r="G278" i="6" s="1"/>
  <c r="I278" i="6" l="1"/>
  <c r="E269" i="11" s="1"/>
  <c r="F269" i="11" s="1"/>
  <c r="D275" i="11"/>
  <c r="H279" i="6"/>
  <c r="D279" i="6"/>
  <c r="C279" i="6" s="1"/>
  <c r="F280" i="6" s="1"/>
  <c r="E279" i="6"/>
  <c r="G279" i="6" s="1"/>
  <c r="D276" i="11" l="1"/>
  <c r="I279" i="6"/>
  <c r="E270" i="11" s="1"/>
  <c r="F270" i="11" s="1"/>
  <c r="H280" i="6"/>
  <c r="D280" i="6"/>
  <c r="C280" i="6" s="1"/>
  <c r="F281" i="6" s="1"/>
  <c r="E280" i="6"/>
  <c r="G280" i="6" s="1"/>
  <c r="I280" i="6" l="1"/>
  <c r="E271" i="11" s="1"/>
  <c r="F271" i="11" s="1"/>
  <c r="D277" i="11"/>
  <c r="H281" i="6"/>
  <c r="D281" i="6"/>
  <c r="C281" i="6" s="1"/>
  <c r="F282" i="6" s="1"/>
  <c r="E281" i="6"/>
  <c r="G281" i="6" s="1"/>
  <c r="I281" i="6" s="1"/>
  <c r="E272" i="11" s="1"/>
  <c r="F272" i="11" s="1"/>
  <c r="D278" i="11" l="1"/>
  <c r="H282" i="6"/>
  <c r="D282" i="6"/>
  <c r="C282" i="6" s="1"/>
  <c r="F283" i="6" s="1"/>
  <c r="E282" i="6"/>
  <c r="G282" i="6" s="1"/>
  <c r="I282" i="6" s="1"/>
  <c r="E273" i="11" s="1"/>
  <c r="F273" i="11" s="1"/>
  <c r="D279" i="11" l="1"/>
  <c r="H283" i="6"/>
  <c r="D283" i="6"/>
  <c r="C283" i="6" s="1"/>
  <c r="F284" i="6" s="1"/>
  <c r="E283" i="6"/>
  <c r="G283" i="6" s="1"/>
  <c r="I283" i="6" s="1"/>
  <c r="E274" i="11" s="1"/>
  <c r="F274" i="11" s="1"/>
  <c r="D280" i="11" l="1"/>
  <c r="H284" i="6"/>
  <c r="D284" i="6"/>
  <c r="C284" i="6" s="1"/>
  <c r="F285" i="6" s="1"/>
  <c r="E284" i="6"/>
  <c r="G284" i="6" s="1"/>
  <c r="I284" i="6" s="1"/>
  <c r="E275" i="11" s="1"/>
  <c r="F275" i="11" s="1"/>
  <c r="D281" i="11" l="1"/>
  <c r="H285" i="6"/>
  <c r="D285" i="6"/>
  <c r="C285" i="6" s="1"/>
  <c r="F286" i="6" s="1"/>
  <c r="E285" i="6"/>
  <c r="G285" i="6" s="1"/>
  <c r="I285" i="6" s="1"/>
  <c r="E276" i="11" s="1"/>
  <c r="F276" i="11" s="1"/>
  <c r="D282" i="11" l="1"/>
  <c r="H286" i="6"/>
  <c r="D286" i="6"/>
  <c r="C286" i="6" s="1"/>
  <c r="F287" i="6" s="1"/>
  <c r="E286" i="6"/>
  <c r="G286" i="6" s="1"/>
  <c r="I286" i="6" s="1"/>
  <c r="E277" i="11" s="1"/>
  <c r="F277" i="11" s="1"/>
  <c r="D283" i="11" l="1"/>
  <c r="H287" i="6"/>
  <c r="D287" i="6"/>
  <c r="C287" i="6" s="1"/>
  <c r="F288" i="6" s="1"/>
  <c r="E287" i="6"/>
  <c r="G287" i="6" s="1"/>
  <c r="I287" i="6" s="1"/>
  <c r="E278" i="11" s="1"/>
  <c r="F278" i="11" s="1"/>
  <c r="D284" i="11" l="1"/>
  <c r="H288" i="6"/>
  <c r="D288" i="6"/>
  <c r="C288" i="6" s="1"/>
  <c r="F289" i="6" s="1"/>
  <c r="E288" i="6"/>
  <c r="G288" i="6" s="1"/>
  <c r="I288" i="6" s="1"/>
  <c r="E279" i="11" s="1"/>
  <c r="F279" i="11" s="1"/>
  <c r="D285" i="11" l="1"/>
  <c r="H289" i="6"/>
  <c r="D289" i="6"/>
  <c r="C289" i="6" s="1"/>
  <c r="F290" i="6" s="1"/>
  <c r="E289" i="6"/>
  <c r="G289" i="6" s="1"/>
  <c r="D286" i="11" l="1"/>
  <c r="I289" i="6"/>
  <c r="E280" i="11" s="1"/>
  <c r="F280" i="11" s="1"/>
  <c r="H290" i="6"/>
  <c r="D290" i="6"/>
  <c r="C290" i="6" s="1"/>
  <c r="F291" i="6" s="1"/>
  <c r="E290" i="6"/>
  <c r="G290" i="6" s="1"/>
  <c r="I290" i="6" l="1"/>
  <c r="E281" i="11" s="1"/>
  <c r="F281" i="11" s="1"/>
  <c r="D287" i="11"/>
  <c r="H291" i="6"/>
  <c r="D291" i="6"/>
  <c r="C291" i="6" s="1"/>
  <c r="F292" i="6" s="1"/>
  <c r="E291" i="6"/>
  <c r="G291" i="6" s="1"/>
  <c r="D288" i="11" l="1"/>
  <c r="I291" i="6"/>
  <c r="E282" i="11" s="1"/>
  <c r="F282" i="11" s="1"/>
  <c r="H292" i="6"/>
  <c r="D292" i="6"/>
  <c r="C292" i="6" s="1"/>
  <c r="F293" i="6" s="1"/>
  <c r="E292" i="6"/>
  <c r="G292" i="6" s="1"/>
  <c r="D289" i="11" l="1"/>
  <c r="I292" i="6"/>
  <c r="E283" i="11" s="1"/>
  <c r="F283" i="11" s="1"/>
  <c r="H293" i="6"/>
  <c r="D293" i="6"/>
  <c r="C293" i="6" s="1"/>
  <c r="F294" i="6" s="1"/>
  <c r="E293" i="6"/>
  <c r="G293" i="6" s="1"/>
  <c r="D290" i="11" l="1"/>
  <c r="I293" i="6"/>
  <c r="E284" i="11" s="1"/>
  <c r="F284" i="11" s="1"/>
  <c r="H294" i="6"/>
  <c r="D294" i="6"/>
  <c r="C294" i="6" s="1"/>
  <c r="F295" i="6" s="1"/>
  <c r="E294" i="6"/>
  <c r="G294" i="6" s="1"/>
  <c r="D291" i="11" l="1"/>
  <c r="I294" i="6"/>
  <c r="E285" i="11" s="1"/>
  <c r="F285" i="11" s="1"/>
  <c r="H295" i="6"/>
  <c r="D295" i="6"/>
  <c r="C295" i="6" s="1"/>
  <c r="F296" i="6" s="1"/>
  <c r="E295" i="6"/>
  <c r="G295" i="6" s="1"/>
  <c r="D292" i="11" l="1"/>
  <c r="I295" i="6"/>
  <c r="E286" i="11" s="1"/>
  <c r="F286" i="11" s="1"/>
  <c r="H296" i="6"/>
  <c r="D296" i="6"/>
  <c r="C296" i="6" s="1"/>
  <c r="F297" i="6" s="1"/>
  <c r="E296" i="6"/>
  <c r="G296" i="6" s="1"/>
  <c r="D293" i="11" l="1"/>
  <c r="I296" i="6"/>
  <c r="E287" i="11" s="1"/>
  <c r="F287" i="11" s="1"/>
  <c r="H297" i="6"/>
  <c r="D297" i="6"/>
  <c r="C297" i="6" s="1"/>
  <c r="F298" i="6" s="1"/>
  <c r="E297" i="6"/>
  <c r="G297" i="6" s="1"/>
  <c r="D294" i="11" l="1"/>
  <c r="I297" i="6"/>
  <c r="E288" i="11" s="1"/>
  <c r="F288" i="11" s="1"/>
  <c r="H298" i="6"/>
  <c r="D298" i="6"/>
  <c r="C298" i="6" s="1"/>
  <c r="F299" i="6" s="1"/>
  <c r="E298" i="6"/>
  <c r="G298" i="6" s="1"/>
  <c r="D295" i="11" l="1"/>
  <c r="I298" i="6"/>
  <c r="E289" i="11" s="1"/>
  <c r="F289" i="11" s="1"/>
  <c r="H299" i="6"/>
  <c r="D299" i="6"/>
  <c r="C299" i="6" s="1"/>
  <c r="F300" i="6" s="1"/>
  <c r="E299" i="6"/>
  <c r="G299" i="6" s="1"/>
  <c r="D296" i="11" l="1"/>
  <c r="I299" i="6"/>
  <c r="E290" i="11" s="1"/>
  <c r="F290" i="11" s="1"/>
  <c r="H300" i="6"/>
  <c r="D300" i="6"/>
  <c r="C300" i="6" s="1"/>
  <c r="F301" i="6" s="1"/>
  <c r="E300" i="6"/>
  <c r="G300" i="6" s="1"/>
  <c r="D297" i="11" l="1"/>
  <c r="I300" i="6"/>
  <c r="E291" i="11" s="1"/>
  <c r="F291" i="11" s="1"/>
  <c r="H301" i="6"/>
  <c r="D301" i="6"/>
  <c r="C301" i="6" s="1"/>
  <c r="F302" i="6" s="1"/>
  <c r="E301" i="6"/>
  <c r="G301" i="6" s="1"/>
  <c r="I301" i="6" l="1"/>
  <c r="E292" i="11" s="1"/>
  <c r="F292" i="11" s="1"/>
  <c r="D298" i="11"/>
  <c r="H302" i="6"/>
  <c r="D302" i="6"/>
  <c r="C302" i="6" s="1"/>
  <c r="F303" i="6" s="1"/>
  <c r="E302" i="6"/>
  <c r="G302" i="6" s="1"/>
  <c r="I302" i="6" l="1"/>
  <c r="E293" i="11" s="1"/>
  <c r="F293" i="11" s="1"/>
  <c r="D299" i="11"/>
  <c r="H303" i="6"/>
  <c r="D303" i="6"/>
  <c r="C303" i="6" s="1"/>
  <c r="F304" i="6" s="1"/>
  <c r="E303" i="6"/>
  <c r="G303" i="6" s="1"/>
  <c r="D300" i="11" l="1"/>
  <c r="I303" i="6"/>
  <c r="E294" i="11" s="1"/>
  <c r="F294" i="11" s="1"/>
  <c r="H304" i="6"/>
  <c r="D304" i="6"/>
  <c r="C304" i="6" s="1"/>
  <c r="F305" i="6" s="1"/>
  <c r="E304" i="6"/>
  <c r="G304" i="6" s="1"/>
  <c r="D301" i="11" l="1"/>
  <c r="I304" i="6"/>
  <c r="E295" i="11" s="1"/>
  <c r="F295" i="11" s="1"/>
  <c r="H305" i="6"/>
  <c r="D305" i="6"/>
  <c r="C305" i="6" s="1"/>
  <c r="F306" i="6" s="1"/>
  <c r="E305" i="6"/>
  <c r="G305" i="6" s="1"/>
  <c r="D302" i="11" l="1"/>
  <c r="I305" i="6"/>
  <c r="E296" i="11" s="1"/>
  <c r="F296" i="11" s="1"/>
  <c r="H306" i="6"/>
  <c r="D306" i="6"/>
  <c r="C306" i="6" s="1"/>
  <c r="F307" i="6" s="1"/>
  <c r="E306" i="6"/>
  <c r="G306" i="6" s="1"/>
  <c r="D303" i="11" l="1"/>
  <c r="I306" i="6"/>
  <c r="E297" i="11" s="1"/>
  <c r="F297" i="11" s="1"/>
  <c r="H307" i="6"/>
  <c r="D307" i="6"/>
  <c r="C307" i="6" s="1"/>
  <c r="F308" i="6" s="1"/>
  <c r="E307" i="6"/>
  <c r="G307" i="6" s="1"/>
  <c r="I307" i="6" l="1"/>
  <c r="E298" i="11" s="1"/>
  <c r="F298" i="11" s="1"/>
  <c r="D304" i="11"/>
  <c r="H308" i="6"/>
  <c r="D308" i="6"/>
  <c r="C308" i="6" s="1"/>
  <c r="F309" i="6" s="1"/>
  <c r="E308" i="6"/>
  <c r="G308" i="6" s="1"/>
  <c r="D305" i="11" l="1"/>
  <c r="I308" i="6"/>
  <c r="E299" i="11" s="1"/>
  <c r="F299" i="11" s="1"/>
  <c r="H309" i="6"/>
  <c r="D309" i="6"/>
  <c r="C309" i="6" s="1"/>
  <c r="F310" i="6" s="1"/>
  <c r="E309" i="6"/>
  <c r="G309" i="6" s="1"/>
  <c r="I309" i="6" l="1"/>
  <c r="E300" i="11" s="1"/>
  <c r="F300" i="11" s="1"/>
  <c r="D306" i="11"/>
  <c r="H310" i="6"/>
  <c r="D310" i="6"/>
  <c r="C310" i="6" s="1"/>
  <c r="F311" i="6" s="1"/>
  <c r="E310" i="6"/>
  <c r="G310" i="6" s="1"/>
  <c r="I310" i="6" l="1"/>
  <c r="E301" i="11" s="1"/>
  <c r="F301" i="11" s="1"/>
  <c r="D307" i="11"/>
  <c r="H311" i="6"/>
  <c r="D311" i="6"/>
  <c r="C311" i="6" s="1"/>
  <c r="F312" i="6" s="1"/>
  <c r="E311" i="6"/>
  <c r="G311" i="6" s="1"/>
  <c r="I311" i="6" l="1"/>
  <c r="E302" i="11" s="1"/>
  <c r="F302" i="11" s="1"/>
  <c r="D308" i="11"/>
  <c r="H312" i="6"/>
  <c r="D312" i="6"/>
  <c r="C312" i="6" s="1"/>
  <c r="F313" i="6" s="1"/>
  <c r="E312" i="6"/>
  <c r="G312" i="6" s="1"/>
  <c r="I312" i="6" l="1"/>
  <c r="E303" i="11" s="1"/>
  <c r="F303" i="11" s="1"/>
  <c r="D309" i="11"/>
  <c r="H313" i="6"/>
  <c r="D313" i="6"/>
  <c r="C313" i="6" s="1"/>
  <c r="F314" i="6" s="1"/>
  <c r="E313" i="6"/>
  <c r="G313" i="6" s="1"/>
  <c r="I313" i="6" l="1"/>
  <c r="E304" i="11" s="1"/>
  <c r="F304" i="11" s="1"/>
  <c r="D310" i="11"/>
  <c r="H314" i="6"/>
  <c r="D314" i="6"/>
  <c r="C314" i="6" s="1"/>
  <c r="F315" i="6" s="1"/>
  <c r="E314" i="6"/>
  <c r="G314" i="6" s="1"/>
  <c r="I314" i="6" l="1"/>
  <c r="E305" i="11" s="1"/>
  <c r="F305" i="11" s="1"/>
  <c r="D311" i="11"/>
  <c r="H315" i="6"/>
  <c r="D315" i="6"/>
  <c r="C315" i="6" s="1"/>
  <c r="F316" i="6" s="1"/>
  <c r="E315" i="6"/>
  <c r="G315" i="6" s="1"/>
  <c r="I315" i="6" l="1"/>
  <c r="E306" i="11" s="1"/>
  <c r="F306" i="11" s="1"/>
  <c r="D312" i="11"/>
  <c r="H316" i="6"/>
  <c r="D316" i="6"/>
  <c r="C316" i="6" s="1"/>
  <c r="F317" i="6" s="1"/>
  <c r="E316" i="6"/>
  <c r="G316" i="6" s="1"/>
  <c r="I316" i="6" l="1"/>
  <c r="E307" i="11" s="1"/>
  <c r="F307" i="11" s="1"/>
  <c r="D313" i="11"/>
  <c r="H317" i="6"/>
  <c r="D317" i="6"/>
  <c r="C317" i="6" s="1"/>
  <c r="F318" i="6" s="1"/>
  <c r="E317" i="6"/>
  <c r="G317" i="6" s="1"/>
  <c r="I317" i="6" l="1"/>
  <c r="E308" i="11" s="1"/>
  <c r="F308" i="11" s="1"/>
  <c r="D314" i="11"/>
  <c r="H318" i="6"/>
  <c r="D318" i="6"/>
  <c r="C318" i="6" s="1"/>
  <c r="F319" i="6" s="1"/>
  <c r="E318" i="6"/>
  <c r="G318" i="6" s="1"/>
  <c r="I318" i="6" l="1"/>
  <c r="E309" i="11" s="1"/>
  <c r="F309" i="11" s="1"/>
  <c r="D315" i="11"/>
  <c r="H319" i="6"/>
  <c r="D319" i="6"/>
  <c r="C319" i="6" s="1"/>
  <c r="F320" i="6" s="1"/>
  <c r="E319" i="6"/>
  <c r="G319" i="6" s="1"/>
  <c r="I319" i="6" l="1"/>
  <c r="E310" i="11" s="1"/>
  <c r="F310" i="11" s="1"/>
  <c r="D316" i="11"/>
  <c r="H320" i="6"/>
  <c r="D320" i="6"/>
  <c r="C320" i="6" s="1"/>
  <c r="F321" i="6" s="1"/>
  <c r="E320" i="6"/>
  <c r="G320" i="6" s="1"/>
  <c r="I320" i="6" l="1"/>
  <c r="E311" i="11" s="1"/>
  <c r="F311" i="11" s="1"/>
  <c r="D317" i="11"/>
  <c r="H321" i="6"/>
  <c r="D321" i="6"/>
  <c r="C321" i="6" s="1"/>
  <c r="F322" i="6" s="1"/>
  <c r="E321" i="6"/>
  <c r="G321" i="6" s="1"/>
  <c r="I321" i="6" l="1"/>
  <c r="E312" i="11" s="1"/>
  <c r="F312" i="11" s="1"/>
  <c r="D318" i="11"/>
  <c r="H322" i="6"/>
  <c r="D322" i="6"/>
  <c r="C322" i="6" s="1"/>
  <c r="F323" i="6" s="1"/>
  <c r="E322" i="6"/>
  <c r="G322" i="6" s="1"/>
  <c r="I322" i="6" s="1"/>
  <c r="E313" i="11" s="1"/>
  <c r="F313" i="11" s="1"/>
  <c r="D319" i="11" l="1"/>
  <c r="H323" i="6"/>
  <c r="D323" i="6"/>
  <c r="C323" i="6" s="1"/>
  <c r="F324" i="6" s="1"/>
  <c r="E323" i="6"/>
  <c r="G323" i="6" s="1"/>
  <c r="I323" i="6" s="1"/>
  <c r="E314" i="11" s="1"/>
  <c r="F314" i="11" s="1"/>
  <c r="D320" i="11" l="1"/>
  <c r="H324" i="6"/>
  <c r="D324" i="6"/>
  <c r="C324" i="6" s="1"/>
  <c r="F325" i="6" s="1"/>
  <c r="E324" i="6"/>
  <c r="G324" i="6" s="1"/>
  <c r="I324" i="6" s="1"/>
  <c r="E315" i="11" s="1"/>
  <c r="F315" i="11" s="1"/>
  <c r="D321" i="11" l="1"/>
  <c r="H325" i="6"/>
  <c r="D325" i="6"/>
  <c r="C325" i="6" s="1"/>
  <c r="F326" i="6" s="1"/>
  <c r="E325" i="6"/>
  <c r="G325" i="6" s="1"/>
  <c r="I325" i="6" l="1"/>
  <c r="E316" i="11" s="1"/>
  <c r="F316" i="11" s="1"/>
  <c r="D322" i="11"/>
  <c r="H326" i="6"/>
  <c r="D326" i="6"/>
  <c r="C326" i="6" s="1"/>
  <c r="F327" i="6" s="1"/>
  <c r="E326" i="6"/>
  <c r="G326" i="6" s="1"/>
  <c r="I326" i="6" s="1"/>
  <c r="E317" i="11" s="1"/>
  <c r="F317" i="11" s="1"/>
  <c r="D323" i="11" l="1"/>
  <c r="H327" i="6"/>
  <c r="D327" i="6"/>
  <c r="C327" i="6" s="1"/>
  <c r="F328" i="6" s="1"/>
  <c r="E327" i="6"/>
  <c r="G327" i="6" s="1"/>
  <c r="I327" i="6" s="1"/>
  <c r="E318" i="11" s="1"/>
  <c r="F318" i="11" s="1"/>
  <c r="D324" i="11" l="1"/>
  <c r="H328" i="6"/>
  <c r="D328" i="6"/>
  <c r="C328" i="6" s="1"/>
  <c r="F329" i="6" s="1"/>
  <c r="E328" i="6"/>
  <c r="G328" i="6" s="1"/>
  <c r="D325" i="11" l="1"/>
  <c r="I328" i="6"/>
  <c r="E319" i="11" s="1"/>
  <c r="F319" i="11" s="1"/>
  <c r="H329" i="6"/>
  <c r="D329" i="6"/>
  <c r="C329" i="6" s="1"/>
  <c r="F330" i="6" s="1"/>
  <c r="E329" i="6"/>
  <c r="G329" i="6" s="1"/>
  <c r="D326" i="11" l="1"/>
  <c r="I329" i="6"/>
  <c r="E320" i="11" s="1"/>
  <c r="F320" i="11" s="1"/>
  <c r="H330" i="6"/>
  <c r="D330" i="6"/>
  <c r="C330" i="6" s="1"/>
  <c r="F331" i="6" s="1"/>
  <c r="E330" i="6"/>
  <c r="G330" i="6" s="1"/>
  <c r="D327" i="11" l="1"/>
  <c r="I330" i="6"/>
  <c r="E321" i="11" s="1"/>
  <c r="F321" i="11" s="1"/>
  <c r="H331" i="6"/>
  <c r="D331" i="6"/>
  <c r="C331" i="6" s="1"/>
  <c r="F332" i="6" s="1"/>
  <c r="E331" i="6"/>
  <c r="G331" i="6" s="1"/>
  <c r="I331" i="6" l="1"/>
  <c r="E322" i="11" s="1"/>
  <c r="F322" i="11" s="1"/>
  <c r="D328" i="11"/>
  <c r="H332" i="6"/>
  <c r="D332" i="6"/>
  <c r="C332" i="6" s="1"/>
  <c r="F333" i="6" s="1"/>
  <c r="E332" i="6"/>
  <c r="G332" i="6" s="1"/>
  <c r="I332" i="6" l="1"/>
  <c r="E323" i="11" s="1"/>
  <c r="F323" i="11" s="1"/>
  <c r="D329" i="11"/>
  <c r="H333" i="6"/>
  <c r="D333" i="6"/>
  <c r="C333" i="6" s="1"/>
  <c r="F334" i="6" s="1"/>
  <c r="E333" i="6"/>
  <c r="G333" i="6" s="1"/>
  <c r="I333" i="6" l="1"/>
  <c r="E324" i="11" s="1"/>
  <c r="F324" i="11" s="1"/>
  <c r="D330" i="11"/>
  <c r="H334" i="6"/>
  <c r="D334" i="6"/>
  <c r="C334" i="6" s="1"/>
  <c r="F335" i="6" s="1"/>
  <c r="E334" i="6"/>
  <c r="G334" i="6" s="1"/>
  <c r="I334" i="6" s="1"/>
  <c r="E325" i="11" s="1"/>
  <c r="F325" i="11" s="1"/>
  <c r="D331" i="11" l="1"/>
  <c r="H335" i="6"/>
  <c r="D335" i="6"/>
  <c r="C335" i="6" s="1"/>
  <c r="F336" i="6" s="1"/>
  <c r="E335" i="6"/>
  <c r="G335" i="6" s="1"/>
  <c r="I335" i="6" s="1"/>
  <c r="E326" i="11" s="1"/>
  <c r="F326" i="11" s="1"/>
  <c r="D332" i="11" l="1"/>
  <c r="H336" i="6"/>
  <c r="D336" i="6"/>
  <c r="C336" i="6" s="1"/>
  <c r="F337" i="6" s="1"/>
  <c r="E336" i="6"/>
  <c r="G336" i="6" s="1"/>
  <c r="I336" i="6" s="1"/>
  <c r="E327" i="11" s="1"/>
  <c r="F327" i="11" s="1"/>
  <c r="D333" i="11" l="1"/>
  <c r="H337" i="6"/>
  <c r="D337" i="6"/>
  <c r="C337" i="6" s="1"/>
  <c r="F338" i="6" s="1"/>
  <c r="E337" i="6"/>
  <c r="G337" i="6" s="1"/>
  <c r="I337" i="6" s="1"/>
  <c r="E328" i="11" s="1"/>
  <c r="F328" i="11" s="1"/>
  <c r="D334" i="11" l="1"/>
  <c r="H338" i="6"/>
  <c r="D338" i="6"/>
  <c r="C338" i="6" s="1"/>
  <c r="F339" i="6" s="1"/>
  <c r="E338" i="6"/>
  <c r="G338" i="6" s="1"/>
  <c r="I338" i="6" s="1"/>
  <c r="E329" i="11" s="1"/>
  <c r="F329" i="11" s="1"/>
  <c r="D335" i="11" l="1"/>
  <c r="H339" i="6"/>
  <c r="D339" i="6"/>
  <c r="C339" i="6" s="1"/>
  <c r="F340" i="6" s="1"/>
  <c r="E339" i="6"/>
  <c r="G339" i="6" s="1"/>
  <c r="I339" i="6" s="1"/>
  <c r="E330" i="11" s="1"/>
  <c r="F330" i="11" s="1"/>
  <c r="D336" i="11" l="1"/>
  <c r="H340" i="6"/>
  <c r="D340" i="6"/>
  <c r="C340" i="6" s="1"/>
  <c r="F341" i="6" s="1"/>
  <c r="E340" i="6"/>
  <c r="G340" i="6" s="1"/>
  <c r="I340" i="6" s="1"/>
  <c r="E331" i="11" s="1"/>
  <c r="F331" i="11" s="1"/>
  <c r="D337" i="11" l="1"/>
  <c r="H341" i="6"/>
  <c r="D341" i="6"/>
  <c r="C341" i="6" s="1"/>
  <c r="F342" i="6" s="1"/>
  <c r="E341" i="6"/>
  <c r="G341" i="6" s="1"/>
  <c r="I341" i="6" s="1"/>
  <c r="E332" i="11" s="1"/>
  <c r="F332" i="11" s="1"/>
  <c r="D338" i="11" l="1"/>
  <c r="H342" i="6"/>
  <c r="D342" i="6"/>
  <c r="C342" i="6" s="1"/>
  <c r="F343" i="6" s="1"/>
  <c r="E342" i="6"/>
  <c r="G342" i="6" s="1"/>
  <c r="I342" i="6" s="1"/>
  <c r="E333" i="11" s="1"/>
  <c r="F333" i="11" s="1"/>
  <c r="D339" i="11" l="1"/>
  <c r="H343" i="6"/>
  <c r="D343" i="6"/>
  <c r="C343" i="6" s="1"/>
  <c r="F344" i="6" s="1"/>
  <c r="E343" i="6"/>
  <c r="G343" i="6" s="1"/>
  <c r="I343" i="6" s="1"/>
  <c r="E334" i="11" s="1"/>
  <c r="F334" i="11" s="1"/>
  <c r="D340" i="11" l="1"/>
  <c r="H344" i="6"/>
  <c r="D344" i="6"/>
  <c r="C344" i="6" s="1"/>
  <c r="F345" i="6" s="1"/>
  <c r="E344" i="6"/>
  <c r="G344" i="6" s="1"/>
  <c r="I344" i="6" s="1"/>
  <c r="E335" i="11" s="1"/>
  <c r="F335" i="11" s="1"/>
  <c r="D341" i="11" l="1"/>
  <c r="H345" i="6"/>
  <c r="D345" i="6"/>
  <c r="C345" i="6" s="1"/>
  <c r="F346" i="6" s="1"/>
  <c r="E345" i="6"/>
  <c r="G345" i="6" s="1"/>
  <c r="D342" i="11" l="1"/>
  <c r="I345" i="6"/>
  <c r="E336" i="11" s="1"/>
  <c r="F336" i="11" s="1"/>
  <c r="H346" i="6"/>
  <c r="D346" i="6"/>
  <c r="C346" i="6" s="1"/>
  <c r="F347" i="6" s="1"/>
  <c r="E346" i="6"/>
  <c r="G346" i="6" s="1"/>
  <c r="D343" i="11" l="1"/>
  <c r="I346" i="6"/>
  <c r="E337" i="11" s="1"/>
  <c r="F337" i="11" s="1"/>
  <c r="H347" i="6"/>
  <c r="D347" i="6"/>
  <c r="C347" i="6" s="1"/>
  <c r="F348" i="6" s="1"/>
  <c r="E347" i="6"/>
  <c r="G347" i="6" s="1"/>
  <c r="D344" i="11" l="1"/>
  <c r="I347" i="6"/>
  <c r="E338" i="11" s="1"/>
  <c r="F338" i="11" s="1"/>
  <c r="H348" i="6"/>
  <c r="D348" i="6"/>
  <c r="C348" i="6" s="1"/>
  <c r="F349" i="6" s="1"/>
  <c r="E348" i="6"/>
  <c r="G348" i="6" s="1"/>
  <c r="I348" i="6" l="1"/>
  <c r="E339" i="11" s="1"/>
  <c r="F339" i="11" s="1"/>
  <c r="D345" i="11"/>
  <c r="H349" i="6"/>
  <c r="D349" i="6"/>
  <c r="C349" i="6" s="1"/>
  <c r="F350" i="6" s="1"/>
  <c r="E349" i="6"/>
  <c r="G349" i="6" s="1"/>
  <c r="I349" i="6" l="1"/>
  <c r="E340" i="11" s="1"/>
  <c r="F340" i="11" s="1"/>
  <c r="D346" i="11"/>
  <c r="H350" i="6"/>
  <c r="D350" i="6"/>
  <c r="C350" i="6" s="1"/>
  <c r="F351" i="6" s="1"/>
  <c r="E350" i="6"/>
  <c r="G350" i="6" s="1"/>
  <c r="I350" i="6" l="1"/>
  <c r="E341" i="11" s="1"/>
  <c r="F341" i="11" s="1"/>
  <c r="D347" i="11"/>
  <c r="H351" i="6"/>
  <c r="D351" i="6"/>
  <c r="C351" i="6" s="1"/>
  <c r="F352" i="6" s="1"/>
  <c r="E351" i="6"/>
  <c r="G351" i="6" s="1"/>
  <c r="I351" i="6" l="1"/>
  <c r="E342" i="11" s="1"/>
  <c r="F342" i="11" s="1"/>
  <c r="D348" i="11"/>
  <c r="H352" i="6"/>
  <c r="D352" i="6"/>
  <c r="C352" i="6" s="1"/>
  <c r="F353" i="6" s="1"/>
  <c r="E352" i="6"/>
  <c r="G352" i="6" s="1"/>
  <c r="I352" i="6" l="1"/>
  <c r="E343" i="11" s="1"/>
  <c r="F343" i="11" s="1"/>
  <c r="D349" i="11"/>
  <c r="H353" i="6"/>
  <c r="D353" i="6"/>
  <c r="C353" i="6" s="1"/>
  <c r="F354" i="6" s="1"/>
  <c r="E353" i="6"/>
  <c r="G353" i="6" s="1"/>
  <c r="I353" i="6" l="1"/>
  <c r="E344" i="11" s="1"/>
  <c r="F344" i="11" s="1"/>
  <c r="D350" i="11"/>
  <c r="H354" i="6"/>
  <c r="D354" i="6"/>
  <c r="C354" i="6" s="1"/>
  <c r="F355" i="6" s="1"/>
  <c r="E354" i="6"/>
  <c r="G354" i="6" s="1"/>
  <c r="I354" i="6" l="1"/>
  <c r="E345" i="11" s="1"/>
  <c r="F345" i="11" s="1"/>
  <c r="D351" i="11"/>
  <c r="H355" i="6"/>
  <c r="D355" i="6"/>
  <c r="C355" i="6" s="1"/>
  <c r="F356" i="6" s="1"/>
  <c r="E355" i="6"/>
  <c r="G355" i="6" s="1"/>
  <c r="I355" i="6" l="1"/>
  <c r="E346" i="11" s="1"/>
  <c r="F346" i="11" s="1"/>
  <c r="D352" i="11"/>
  <c r="H356" i="6"/>
  <c r="D356" i="6"/>
  <c r="C356" i="6" s="1"/>
  <c r="F357" i="6" s="1"/>
  <c r="E356" i="6"/>
  <c r="G356" i="6" s="1"/>
  <c r="I356" i="6" l="1"/>
  <c r="E347" i="11" s="1"/>
  <c r="F347" i="11" s="1"/>
  <c r="D353" i="11"/>
  <c r="H357" i="6"/>
  <c r="D357" i="6"/>
  <c r="C357" i="6" s="1"/>
  <c r="F358" i="6" s="1"/>
  <c r="E357" i="6"/>
  <c r="G357" i="6" s="1"/>
  <c r="I357" i="6" s="1"/>
  <c r="E348" i="11" s="1"/>
  <c r="F348" i="11" s="1"/>
  <c r="D354" i="11" l="1"/>
  <c r="H358" i="6"/>
  <c r="D358" i="6"/>
  <c r="C358" i="6" s="1"/>
  <c r="F359" i="6" s="1"/>
  <c r="E358" i="6"/>
  <c r="G358" i="6" s="1"/>
  <c r="I358" i="6" s="1"/>
  <c r="E349" i="11" s="1"/>
  <c r="F349" i="11" s="1"/>
  <c r="D355" i="11" l="1"/>
  <c r="H359" i="6"/>
  <c r="D359" i="6"/>
  <c r="C359" i="6" s="1"/>
  <c r="F360" i="6" s="1"/>
  <c r="E359" i="6"/>
  <c r="G359" i="6" s="1"/>
  <c r="D356" i="11" l="1"/>
  <c r="I359" i="6"/>
  <c r="E350" i="11" s="1"/>
  <c r="F350" i="11" s="1"/>
  <c r="H360" i="6"/>
  <c r="D360" i="6"/>
  <c r="C360" i="6" s="1"/>
  <c r="F361" i="6" s="1"/>
  <c r="E360" i="6"/>
  <c r="G360" i="6" s="1"/>
  <c r="I360" i="6" l="1"/>
  <c r="E351" i="11" s="1"/>
  <c r="F351" i="11" s="1"/>
  <c r="D357" i="11"/>
  <c r="H361" i="6"/>
  <c r="D361" i="6"/>
  <c r="C361" i="6" s="1"/>
  <c r="F362" i="6" s="1"/>
  <c r="E361" i="6"/>
  <c r="G361" i="6" s="1"/>
  <c r="I361" i="6" s="1"/>
  <c r="E352" i="11" s="1"/>
  <c r="F352" i="11" s="1"/>
  <c r="D358" i="11" l="1"/>
  <c r="H362" i="6"/>
  <c r="D362" i="6"/>
  <c r="C362" i="6" s="1"/>
  <c r="F363" i="6" s="1"/>
  <c r="E362" i="6"/>
  <c r="G362" i="6" s="1"/>
  <c r="I362" i="6" s="1"/>
  <c r="E353" i="11" s="1"/>
  <c r="F353" i="11" s="1"/>
  <c r="D359" i="11" l="1"/>
  <c r="H363" i="6"/>
  <c r="D363" i="6"/>
  <c r="C363" i="6" s="1"/>
  <c r="F364" i="6" s="1"/>
  <c r="E363" i="6"/>
  <c r="G363" i="6" s="1"/>
  <c r="I363" i="6" s="1"/>
  <c r="E354" i="11" s="1"/>
  <c r="F354" i="11" s="1"/>
  <c r="D360" i="11" l="1"/>
  <c r="H364" i="6"/>
  <c r="D364" i="6"/>
  <c r="C364" i="6" s="1"/>
  <c r="F365" i="6" s="1"/>
  <c r="E364" i="6"/>
  <c r="G364" i="6" s="1"/>
  <c r="I364" i="6" s="1"/>
  <c r="E355" i="11" s="1"/>
  <c r="F355" i="11" s="1"/>
  <c r="D361" i="11" l="1"/>
  <c r="H365" i="6"/>
  <c r="D365" i="6"/>
  <c r="C365" i="6" s="1"/>
  <c r="F366" i="6" s="1"/>
  <c r="E365" i="6"/>
  <c r="G365" i="6" s="1"/>
  <c r="I365" i="6" s="1"/>
  <c r="E356" i="11" s="1"/>
  <c r="F356" i="11" s="1"/>
  <c r="D362" i="11" l="1"/>
  <c r="H366" i="6"/>
  <c r="D366" i="6"/>
  <c r="C366" i="6" s="1"/>
  <c r="F367" i="6" s="1"/>
  <c r="E366" i="6"/>
  <c r="G366" i="6" s="1"/>
  <c r="I366" i="6" s="1"/>
  <c r="E357" i="11" s="1"/>
  <c r="F357" i="11" s="1"/>
  <c r="D363" i="11" l="1"/>
  <c r="H367" i="6"/>
  <c r="D367" i="6"/>
  <c r="C367" i="6" s="1"/>
  <c r="F368" i="6" s="1"/>
  <c r="E367" i="6"/>
  <c r="G367" i="6" s="1"/>
  <c r="D364" i="11" l="1"/>
  <c r="I367" i="6"/>
  <c r="E358" i="11" s="1"/>
  <c r="F358" i="11" s="1"/>
  <c r="H368" i="6"/>
  <c r="D368" i="6"/>
  <c r="C368" i="6" s="1"/>
  <c r="F369" i="6" s="1"/>
  <c r="E368" i="6"/>
  <c r="G368" i="6" s="1"/>
  <c r="I368" i="6" l="1"/>
  <c r="E359" i="11" s="1"/>
  <c r="F359" i="11" s="1"/>
  <c r="D365" i="11"/>
  <c r="H369" i="6"/>
  <c r="D369" i="6"/>
  <c r="C369" i="6" s="1"/>
  <c r="F370" i="6" s="1"/>
  <c r="E369" i="6"/>
  <c r="G369" i="6" s="1"/>
  <c r="I369" i="6" l="1"/>
  <c r="E360" i="11" s="1"/>
  <c r="F360" i="11" s="1"/>
  <c r="D366" i="11"/>
  <c r="H370" i="6"/>
  <c r="D370" i="6"/>
  <c r="C370" i="6" s="1"/>
  <c r="F371" i="6" s="1"/>
  <c r="E370" i="6"/>
  <c r="G370" i="6" s="1"/>
  <c r="I370" i="6" l="1"/>
  <c r="E361" i="11" s="1"/>
  <c r="F361" i="11" s="1"/>
  <c r="D367" i="11"/>
  <c r="H371" i="6"/>
  <c r="D371" i="6"/>
  <c r="C371" i="6" s="1"/>
  <c r="F372" i="6" s="1"/>
  <c r="E371" i="6"/>
  <c r="G371" i="6" s="1"/>
  <c r="I371" i="6" l="1"/>
  <c r="E362" i="11" s="1"/>
  <c r="F362" i="11" s="1"/>
  <c r="D368" i="11"/>
  <c r="H372" i="6"/>
  <c r="D372" i="6"/>
  <c r="C372" i="6" s="1"/>
  <c r="F373" i="6" s="1"/>
  <c r="E372" i="6"/>
  <c r="G372" i="6" s="1"/>
  <c r="I372" i="6" l="1"/>
  <c r="E363" i="11" s="1"/>
  <c r="F363" i="11" s="1"/>
  <c r="D369" i="11"/>
  <c r="H373" i="6"/>
  <c r="D373" i="6"/>
  <c r="C373" i="6" s="1"/>
  <c r="F374" i="6" s="1"/>
  <c r="E373" i="6"/>
  <c r="G373" i="6" s="1"/>
  <c r="I373" i="6" l="1"/>
  <c r="E364" i="11" s="1"/>
  <c r="F364" i="11" s="1"/>
  <c r="D370" i="11"/>
  <c r="H374" i="6"/>
  <c r="D374" i="6"/>
  <c r="C374" i="6" s="1"/>
  <c r="F375" i="6" s="1"/>
  <c r="E374" i="6"/>
  <c r="G374" i="6" s="1"/>
  <c r="I374" i="6" l="1"/>
  <c r="E365" i="11" s="1"/>
  <c r="F365" i="11" s="1"/>
  <c r="D371" i="11"/>
  <c r="H375" i="6"/>
  <c r="D375" i="6"/>
  <c r="C375" i="6" s="1"/>
  <c r="F376" i="6" s="1"/>
  <c r="E375" i="6"/>
  <c r="G375" i="6" s="1"/>
  <c r="I375" i="6" l="1"/>
  <c r="E366" i="11" s="1"/>
  <c r="F366" i="11" s="1"/>
  <c r="H376" i="6"/>
  <c r="D376" i="6"/>
  <c r="C376" i="6" s="1"/>
  <c r="F377" i="6" s="1"/>
  <c r="E376" i="6"/>
  <c r="G376" i="6" s="1"/>
  <c r="I376" i="6" s="1"/>
  <c r="E367" i="11" s="1"/>
  <c r="F367" i="11" s="1"/>
  <c r="H377" i="6" l="1"/>
  <c r="D377" i="6"/>
  <c r="C377" i="6" s="1"/>
  <c r="F378" i="6" s="1"/>
  <c r="E377" i="6"/>
  <c r="G377" i="6" s="1"/>
  <c r="I377" i="6" s="1"/>
  <c r="E368" i="11" s="1"/>
  <c r="F368" i="11" s="1"/>
  <c r="H378" i="6" l="1"/>
  <c r="D378" i="6"/>
  <c r="C378" i="6" s="1"/>
  <c r="F379" i="6" s="1"/>
  <c r="E378" i="6"/>
  <c r="G378" i="6" s="1"/>
  <c r="I378" i="6" l="1"/>
  <c r="E369" i="11" s="1"/>
  <c r="F369" i="11" s="1"/>
  <c r="H379" i="6"/>
  <c r="D379" i="6"/>
  <c r="C379" i="6" s="1"/>
  <c r="F380" i="6" s="1"/>
  <c r="E379" i="6"/>
  <c r="G379" i="6" s="1"/>
  <c r="I379" i="6" l="1"/>
  <c r="E370" i="11" s="1"/>
  <c r="F370" i="11" s="1"/>
  <c r="H380" i="6"/>
  <c r="D380" i="6"/>
  <c r="C380" i="6" s="1"/>
  <c r="F381" i="6" s="1"/>
  <c r="E380" i="6"/>
  <c r="G380" i="6" s="1"/>
  <c r="I380" i="6" s="1"/>
  <c r="E371" i="11" s="1"/>
  <c r="F371" i="11" s="1"/>
  <c r="G371" i="11" s="1"/>
  <c r="D12" i="9" s="1"/>
  <c r="C387" i="6" l="1"/>
  <c r="H381" i="6"/>
  <c r="D381" i="6"/>
  <c r="C381" i="6" s="1"/>
  <c r="E381" i="6"/>
  <c r="G381" i="6" s="1"/>
  <c r="C13" i="6"/>
  <c r="C15" i="6" s="1"/>
  <c r="C388" i="6" l="1"/>
  <c r="I381" i="6"/>
  <c r="C389" i="6" l="1"/>
  <c r="C390" i="6" s="1"/>
  <c r="C391" i="6" s="1"/>
  <c r="C392" i="6" l="1"/>
  <c r="C393" i="6" s="1"/>
  <c r="C394" i="6" l="1"/>
  <c r="C395" i="6" l="1"/>
  <c r="C396" i="6" l="1"/>
  <c r="C397" i="6" s="1"/>
  <c r="C398" i="6" s="1"/>
  <c r="C399" i="6" s="1"/>
  <c r="C400" i="6" s="1"/>
  <c r="C401" i="6" s="1"/>
  <c r="C402" i="6" s="1"/>
  <c r="C403" i="6" s="1"/>
  <c r="C404" i="6" s="1"/>
  <c r="C405" i="6" s="1"/>
  <c r="C406" i="6" s="1"/>
  <c r="C407" i="6" s="1"/>
  <c r="C408" i="6" s="1"/>
  <c r="C409" i="6" s="1"/>
  <c r="C410" i="6" s="1"/>
  <c r="C411" i="6" s="1"/>
  <c r="C412" i="6" s="1"/>
  <c r="C413" i="6" s="1"/>
  <c r="C414" i="6" s="1"/>
  <c r="C415" i="6" s="1"/>
  <c r="C416" i="6" s="1"/>
  <c r="C4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Arthur Lemos</author>
  </authors>
  <commentList>
    <comment ref="I21" authorId="0" shapeId="0" xr:uid="{00000000-0006-0000-0600-000001000000}">
      <text>
        <r>
          <rPr>
            <b/>
            <sz val="9"/>
            <color rgb="FF000000"/>
            <rFont val="Segoe UI"/>
            <family val="2"/>
          </rPr>
          <t>Arthur Lemos: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>Considera pagamento único de avaliação, taxas de abertura de crédito e demais despesas documentais para abertura do contrato de financiamento!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Arthur Lemos</author>
  </authors>
  <commentList>
    <comment ref="K11" authorId="0" shapeId="0" xr:uid="{00000000-0006-0000-0700-000001000000}">
      <text>
        <r>
          <rPr>
            <b/>
            <sz val="9"/>
            <color rgb="FF000000"/>
            <rFont val="Segoe UI"/>
            <family val="2"/>
          </rPr>
          <t>Arthur Lemos: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>Despesas Médias de RESPONSABILIDADE DO PROPRIETÁRIO, a exemplo: reformas estruturais, elétricas e hidráulicas necessárias.</t>
        </r>
      </text>
    </comment>
  </commentList>
</comments>
</file>

<file path=xl/sharedStrings.xml><?xml version="1.0" encoding="utf-8"?>
<sst xmlns="http://schemas.openxmlformats.org/spreadsheetml/2006/main" count="179" uniqueCount="157">
  <si>
    <t>Autoria: Arthur Lemos
Fonte: empreenderdinheiro.com</t>
  </si>
  <si>
    <t>Roteiro Lucrativo para Decisões Imobiliárias</t>
  </si>
  <si>
    <t>Matriz de Mapeamento de Perfil Imobiliário</t>
  </si>
  <si>
    <t>Matriz de Mapeamento de Perfil Financeiro - Ênfase Imobiliária</t>
  </si>
  <si>
    <t>"A melhor Decisão será aquela que gerar mais Riqueza para o Investidor"</t>
  </si>
  <si>
    <t>Simulações Financeiras</t>
  </si>
  <si>
    <t>Premissas para Projeção</t>
  </si>
  <si>
    <t>Vlr/Taxa</t>
  </si>
  <si>
    <t>Entrada</t>
  </si>
  <si>
    <t>Valor Financiado</t>
  </si>
  <si>
    <t>Comment</t>
  </si>
  <si>
    <t>-</t>
  </si>
  <si>
    <t>% acima da inflação, ao ano</t>
  </si>
  <si>
    <t>Aluguel mensal, em R$</t>
  </si>
  <si>
    <t>Custo Mensal Aluguel:</t>
  </si>
  <si>
    <t>Valorização Média Real:</t>
  </si>
  <si>
    <t>Valor Aquisição Imóvel:</t>
  </si>
  <si>
    <t>Inflação Longo Prazo:</t>
  </si>
  <si>
    <t>Custo Oportunidade:</t>
  </si>
  <si>
    <t>Custo Oportunidade Real:</t>
  </si>
  <si>
    <t>Prêmio, ou seja, Retorno nos Investimentos acima da inflação</t>
  </si>
  <si>
    <t>Rentabilidade esperada nos investimentos</t>
  </si>
  <si>
    <t>Premissas Financiamento</t>
  </si>
  <si>
    <t>Entrada:</t>
  </si>
  <si>
    <t>% do Valor do Imóvel</t>
  </si>
  <si>
    <t>Prazo Financiamento:</t>
  </si>
  <si>
    <t>Informar em meses*</t>
  </si>
  <si>
    <t>Valor Financiado:</t>
  </si>
  <si>
    <t>Taxa Efetiva Operação:</t>
  </si>
  <si>
    <t>Informar taxa ao ano*</t>
  </si>
  <si>
    <t>Considerar aqui, o indexador (ao ano) do contrato financiamento</t>
  </si>
  <si>
    <t xml:space="preserve">- - - - - - - - - - - - - - - - - - - - </t>
  </si>
  <si>
    <t>Custos com Avaliação:</t>
  </si>
  <si>
    <t>Taxa Referencial (TR):</t>
  </si>
  <si>
    <t>Seguro Contratual:</t>
  </si>
  <si>
    <t>Taxas Documentais:</t>
  </si>
  <si>
    <t>Caso não aplicável, zerar este campo</t>
  </si>
  <si>
    <t>Simulações Financeiras:</t>
  </si>
  <si>
    <t>Premissas, Financiamento, Investimentos &amp; Resultado</t>
  </si>
  <si>
    <t>Próximas planilhas, neste arquivo!</t>
  </si>
  <si>
    <t>Amortização</t>
  </si>
  <si>
    <t>Seguros</t>
  </si>
  <si>
    <t xml:space="preserve"> </t>
  </si>
  <si>
    <t>Projeção</t>
  </si>
  <si>
    <t>Fluxo Pagamento</t>
  </si>
  <si>
    <t>Pagamento</t>
  </si>
  <si>
    <t>Parcelas</t>
  </si>
  <si>
    <t>INCC</t>
  </si>
  <si>
    <t>Intercalada</t>
  </si>
  <si>
    <t>Chaves</t>
  </si>
  <si>
    <t>Total Saídas</t>
  </si>
  <si>
    <t>Custo Oportunidade</t>
  </si>
  <si>
    <t>Total Custo Oport.</t>
  </si>
  <si>
    <t>Número de Períodos</t>
  </si>
  <si>
    <t>Taxa Juros Anual</t>
  </si>
  <si>
    <t>TOTAL FINAN - TABELA SAC</t>
  </si>
  <si>
    <t>Diferença &gt;&gt;&gt;</t>
  </si>
  <si>
    <t>Período 
(mês)</t>
  </si>
  <si>
    <t>Juros Incorridos</t>
  </si>
  <si>
    <t>Principal</t>
  </si>
  <si>
    <t>Juros</t>
  </si>
  <si>
    <t>Parcela</t>
  </si>
  <si>
    <t>Saldo 
Devedor</t>
  </si>
  <si>
    <t>Simulação Financiamento Imobiliário</t>
  </si>
  <si>
    <t>Texa Efetiva Mensal</t>
  </si>
  <si>
    <t>Ajuste TR</t>
  </si>
  <si>
    <t>Considera custo mensal com seguros</t>
  </si>
  <si>
    <t>Resumo Pagamentos Anuais</t>
  </si>
  <si>
    <t>R$</t>
  </si>
  <si>
    <t>Total Período Projetivo:</t>
  </si>
  <si>
    <t>Desembolso Adicional - PMT 01</t>
  </si>
  <si>
    <t>Custos Estimados com abertura de crédito/documentos/cadastros</t>
  </si>
  <si>
    <t>Resultado Comprar vs Alugar</t>
  </si>
  <si>
    <t>Valor do Imóvel</t>
  </si>
  <si>
    <t>Simulação Investimentos</t>
  </si>
  <si>
    <t>Custo Estimado Aluguel</t>
  </si>
  <si>
    <t>Aplicações Líquidas
(Prestações - Alugueis)</t>
  </si>
  <si>
    <t>Saldo 
Aplicações Totais</t>
  </si>
  <si>
    <t>Resultado 
Aplicações Mensais 
&gt; Ao Final do Período &lt;</t>
  </si>
  <si>
    <t>Saldo ao Final Período</t>
  </si>
  <si>
    <t>SIMULAÇÃO APLICAÇÕES FINANCEIRAS:</t>
  </si>
  <si>
    <t>SIMULAÇÃO VALORIZÃO DO IMÓVEL:</t>
  </si>
  <si>
    <t>Período 
(Ano)</t>
  </si>
  <si>
    <t>Valorização Anual Prevista</t>
  </si>
  <si>
    <t>Despesas Anuais com manutenção</t>
  </si>
  <si>
    <t>Saldo Patrimonial</t>
  </si>
  <si>
    <t>Taxa de Valorização Nominal do Imóvel:</t>
  </si>
  <si>
    <t>PERÍODO PROJETIVO:</t>
  </si>
  <si>
    <t>Estratégia de Compra Financiada</t>
  </si>
  <si>
    <t>Estratégia de Aluguel</t>
  </si>
  <si>
    <t>Posição 
Patrimonial</t>
  </si>
  <si>
    <t>FINANCIAMENTO VS ALUGUEL:.</t>
  </si>
  <si>
    <t xml:space="preserve">Assinatura </t>
  </si>
  <si>
    <r>
      <rPr>
        <b/>
        <i/>
        <sz val="10"/>
        <color theme="1"/>
        <rFont val="Arial"/>
        <family val="2"/>
      </rPr>
      <t xml:space="preserve">*** 
</t>
    </r>
    <r>
      <rPr>
        <i/>
        <sz val="10"/>
        <color theme="1"/>
        <rFont val="Arial"/>
        <family val="2"/>
      </rPr>
      <t>Ao final do período, para converter o patrimônio em disponibilidades (R$), 
será necessário deduzir o volume de Impostos sobre a Renda, vide estratégia escolhida e legislação aplicável.</t>
    </r>
  </si>
  <si>
    <t>Compras na Planta</t>
  </si>
  <si>
    <t>CONDIÇÕES DO PLANO DE PAGAMENTO INICIAL</t>
  </si>
  <si>
    <t>Parcelas Mensais</t>
  </si>
  <si>
    <t>Intercaladas Semestrais</t>
  </si>
  <si>
    <t>Total das Parcelas Mensais</t>
  </si>
  <si>
    <t>ao mês</t>
  </si>
  <si>
    <t>Rentab. Líq.: Renda Fixa</t>
  </si>
  <si>
    <t>Valor a Financiar (SD):</t>
  </si>
  <si>
    <t>Total Saídas - Plano de Entrada</t>
  </si>
  <si>
    <t>Pontos de Análise:</t>
  </si>
  <si>
    <t>Saldo Devedor &gt;&gt;&gt;</t>
  </si>
  <si>
    <t>Total Pagamentos Plano Entrada:</t>
  </si>
  <si>
    <t>Valor Real</t>
  </si>
  <si>
    <t>Diferença</t>
  </si>
  <si>
    <t>Saldo Devedor Corrigido</t>
  </si>
  <si>
    <t>Roteiro de Documentos Importantes</t>
  </si>
  <si>
    <t>TÍTULO DE PROPRIEDADE DO TERRENO;</t>
  </si>
  <si>
    <t>AVALIAÇÃO DO CUSTO TOTAL DA OBRA;</t>
  </si>
  <si>
    <t>MEMORIAL DESCRITIVO;</t>
  </si>
  <si>
    <t>CERTIDÕES NEGATIVAS;</t>
  </si>
  <si>
    <t>CÁLCULO DAS EDIFICAÇÕES;</t>
  </si>
  <si>
    <t>PROJETO DE CONSTRUÇÃO COM APROVAÇÃO;</t>
  </si>
  <si>
    <t>ATESTADO IDONEIDADE FINANCEIRA;</t>
  </si>
  <si>
    <t>CONVENÇÃO CONDOMINIAL;</t>
  </si>
  <si>
    <t>DENTRE OUTROS.</t>
  </si>
  <si>
    <t>Situação Patrimonial</t>
  </si>
  <si>
    <t>Ativos</t>
  </si>
  <si>
    <t>Passivos</t>
  </si>
  <si>
    <t>Dinheiro em espécie</t>
  </si>
  <si>
    <t>Automóveis</t>
  </si>
  <si>
    <t>Financiamento automóvel</t>
  </si>
  <si>
    <t>Imóveis</t>
  </si>
  <si>
    <t>Financiamento imóvel</t>
  </si>
  <si>
    <t>Outros bens</t>
  </si>
  <si>
    <t>Total Ativos</t>
  </si>
  <si>
    <t>Total Passivos</t>
  </si>
  <si>
    <t>Planos de Previdência</t>
  </si>
  <si>
    <t>Contas Atrasadas</t>
  </si>
  <si>
    <t>Dívidas Curto Prazo #1</t>
  </si>
  <si>
    <t>Dívidas Curto Prazo #2</t>
  </si>
  <si>
    <t>Crédito Consignado</t>
  </si>
  <si>
    <t>Patrimônio Líquido</t>
  </si>
  <si>
    <t>Ativos Ilíquidos</t>
  </si>
  <si>
    <t>Disponibilidades:</t>
  </si>
  <si>
    <t>Aplicações Financeiras</t>
  </si>
  <si>
    <t>Conta Corrente</t>
  </si>
  <si>
    <t>Dívidas Longo Prazo #1</t>
  </si>
  <si>
    <t>Sobre a opção: Consórcios Imobiliários</t>
  </si>
  <si>
    <t>TAXA DE JUROS VS TAXA DE ADMINISTRAÇÃO</t>
  </si>
  <si>
    <t>TAXA DE ADM, 15% A 25% (MÉDIA) &gt; PESQUISAR INSITUIÇÕES DIFERENTES!</t>
  </si>
  <si>
    <t>CONTEMPLAÇÃO EM SORTEIO, LANCE (ANTECIPAÇÃO PGTOS) &amp; FINAL PERÍODO CONTRATUAL</t>
  </si>
  <si>
    <t xml:space="preserve">TAXA ADM (+) SEGURO (+) TAXA ADESÃO (+) </t>
  </si>
  <si>
    <t>CUSTO OPORTUNIDADE*</t>
  </si>
  <si>
    <t>CONSIDERAÇÕES:</t>
  </si>
  <si>
    <t>DESCONSIDERANDO CUSTO OP., CONSÓRCIO É MAIS BARATO QUE FINANCIAMENTO</t>
  </si>
  <si>
    <t>QUANTO MENOR TAXA JUROS, MENOR CUSTO FINANCIAMENTO &gt; MENOR VANTAGEM CONSÓRCIOS</t>
  </si>
  <si>
    <t>SE FOR USAR, CUIDADO PARA NÃO DAR LANCES &amp; FICAR DESCOBERTO</t>
  </si>
  <si>
    <t>QUANDO USAR:</t>
  </si>
  <si>
    <t>NÃO TEM DISCIPLINA, TEM DINHEIRO PARA FAZER LANCES, TEM FLEXIBILIDADE, NÃO CONSIDERA CUSTO OP.</t>
  </si>
  <si>
    <t>Entrada, em R$ &gt; Ideal é entrada de 30% a 50% vlr imóvel</t>
  </si>
  <si>
    <t>Considere custos com registro, escritura e impostos!</t>
  </si>
  <si>
    <t>Documentos do Projeto Imobiliário - Compras na Planta</t>
  </si>
  <si>
    <t>Primeiros Passos para Decidir entre Comprar ou Alugar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</si>
</sst>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R$&quot;#,##0;[Red]\-&quot;R$&quot;#,##0"/>
    <numFmt numFmtId="165" formatCode="&quot;R$&quot;#,##0.00;[Red]\-&quot;R$&quot;#,##0.00"/>
    <numFmt numFmtId="166" formatCode="00&quot;)&quot;"/>
    <numFmt numFmtId="167" formatCode="_-&quot;R$&quot;\ * #,##0.00_-;\-&quot;R$&quot;\ * #,##0.00_-;_-&quot;R$&quot;\ * &quot;-&quot;??_-;_-@_-"/>
    <numFmt numFmtId="168" formatCode="#,##0.00_ ;[Red]\-#,##0.00\ "/>
    <numFmt numFmtId="169" formatCode="&quot;R$&quot;\ #,##0;[Red]\-&quot;R$&quot;\ #,##0"/>
    <numFmt numFmtId="170" formatCode="00"/>
    <numFmt numFmtId="171" formatCode="#,##0_ ;[Red]\-#,##0\ "/>
    <numFmt numFmtId="172" formatCode="&quot;Período&quot;\ 00"/>
    <numFmt numFmtId="173" formatCode="&quot;Ano&quot;\ \-\ 00"/>
    <numFmt numFmtId="174" formatCode="0\ &quot;Meses&quot;"/>
    <numFmt numFmtId="175" formatCode="&quot;Mês&quot;\ 00"/>
    <numFmt numFmtId="176" formatCode="0.0%"/>
    <numFmt numFmtId="177" formatCode="00\ &quot;parcelas&quot;"/>
    <numFmt numFmtId="178" formatCode="00\ &quot;semestrais&quot;"/>
    <numFmt numFmtId="179" formatCode="_-[$R$-416]\ * #,##0.00_-;\-[$R$-416]\ * #,##0.00_-;_-[$R$-416]\ * &quot;-&quot;??_-;_-@_-"/>
    <numFmt numFmtId="180" formatCode="_-[$R$-416]* #,##0.00_-;\-[$R$-416]* #,##0.00_-;_-[$R$-416]* &quot;-&quot;??_-;_-@_-"/>
  </numFmts>
  <fonts count="46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Gotham Ultra"/>
      <family val="3"/>
    </font>
    <font>
      <sz val="9"/>
      <color theme="1"/>
      <name val="Gotham Ultra"/>
      <family val="3"/>
    </font>
    <font>
      <sz val="6"/>
      <name val="Gotham Ultra"/>
      <family val="3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3"/>
      <name val="Gotham Ultra"/>
      <family val="3"/>
    </font>
    <font>
      <b/>
      <sz val="9"/>
      <color theme="1"/>
      <name val="Arial"/>
      <family val="2"/>
    </font>
    <font>
      <b/>
      <sz val="8"/>
      <color theme="3"/>
      <name val="Gotham Black"/>
      <family val="3"/>
    </font>
    <font>
      <sz val="10"/>
      <color theme="0" tint="-0.249977111117893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3"/>
      <name val="Arial"/>
      <family val="2"/>
    </font>
    <font>
      <i/>
      <sz val="10"/>
      <color theme="3"/>
      <name val="Arial"/>
      <family val="2"/>
    </font>
    <font>
      <sz val="11"/>
      <color theme="1"/>
      <name val="Webdings"/>
      <family val="1"/>
      <charset val="2"/>
    </font>
    <font>
      <b/>
      <sz val="12"/>
      <color theme="1"/>
      <name val="Calibri"/>
      <family val="2"/>
      <scheme val="minor"/>
    </font>
    <font>
      <sz val="10"/>
      <color theme="1"/>
      <name val="Webdings"/>
      <family val="1"/>
      <charset val="2"/>
    </font>
    <font>
      <b/>
      <sz val="11.5"/>
      <color theme="0"/>
      <name val="Arial"/>
      <family val="2"/>
    </font>
    <font>
      <b/>
      <sz val="12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22"/>
      <color theme="1"/>
      <name val="Mistral"/>
      <family val="4"/>
    </font>
    <font>
      <b/>
      <sz val="11.5"/>
      <color theme="1"/>
      <name val="Arial"/>
      <family val="2"/>
    </font>
    <font>
      <sz val="14"/>
      <color theme="1"/>
      <name val="Webdings"/>
      <family val="1"/>
      <charset val="2"/>
    </font>
    <font>
      <b/>
      <sz val="11"/>
      <color rgb="FFFF0000"/>
      <name val="Arial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b/>
      <sz val="10"/>
      <color theme="1"/>
      <name val="Gotham Ultra"/>
      <family val="3"/>
    </font>
    <font>
      <sz val="8"/>
      <color theme="1"/>
      <name val="Gotham Ultra"/>
      <family val="3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FF"/>
      </bottom>
      <diagonal/>
    </border>
  </borders>
  <cellStyleXfs count="8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1"/>
    <xf numFmtId="0" fontId="1" fillId="2" borderId="0" xfId="1" applyFill="1"/>
    <xf numFmtId="0" fontId="4" fillId="2" borderId="0" xfId="1" applyFont="1" applyFill="1"/>
    <xf numFmtId="0" fontId="5" fillId="2" borderId="0" xfId="1" applyFont="1" applyFill="1"/>
    <xf numFmtId="0" fontId="5" fillId="0" borderId="0" xfId="1" applyFont="1"/>
    <xf numFmtId="0" fontId="0" fillId="3" borderId="0" xfId="0" applyFill="1"/>
    <xf numFmtId="0" fontId="2" fillId="3" borderId="0" xfId="0" applyFont="1" applyFill="1"/>
    <xf numFmtId="0" fontId="9" fillId="3" borderId="0" xfId="0" applyFont="1" applyFill="1"/>
    <xf numFmtId="0" fontId="0" fillId="4" borderId="0" xfId="0" applyFill="1"/>
    <xf numFmtId="0" fontId="3" fillId="0" borderId="0" xfId="0" applyFont="1"/>
    <xf numFmtId="166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4" fillId="0" borderId="0" xfId="0" applyFont="1"/>
    <xf numFmtId="0" fontId="14" fillId="4" borderId="0" xfId="0" applyFont="1" applyFill="1"/>
    <xf numFmtId="0" fontId="14" fillId="3" borderId="0" xfId="0" applyFont="1" applyFill="1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14" fillId="0" borderId="0" xfId="0" applyFont="1" applyAlignment="1">
      <alignment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quotePrefix="1" applyAlignment="1">
      <alignment horizontal="left" inden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13" fillId="5" borderId="1" xfId="0" applyFont="1" applyFill="1" applyBorder="1"/>
    <xf numFmtId="0" fontId="14" fillId="0" borderId="0" xfId="0" applyFont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indent="1"/>
    </xf>
    <xf numFmtId="0" fontId="17" fillId="0" borderId="0" xfId="1" applyFont="1"/>
    <xf numFmtId="0" fontId="19" fillId="0" borderId="0" xfId="1" applyFont="1"/>
    <xf numFmtId="0" fontId="10" fillId="0" borderId="0" xfId="2" applyFont="1"/>
    <xf numFmtId="3" fontId="10" fillId="0" borderId="0" xfId="2" applyNumberFormat="1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left" indent="2"/>
    </xf>
    <xf numFmtId="3" fontId="20" fillId="0" borderId="0" xfId="2" applyNumberFormat="1" applyFont="1" applyAlignment="1">
      <alignment horizontal="center"/>
    </xf>
    <xf numFmtId="0" fontId="16" fillId="0" borderId="0" xfId="2" quotePrefix="1" applyFont="1"/>
    <xf numFmtId="3" fontId="16" fillId="0" borderId="0" xfId="2" applyNumberFormat="1" applyFont="1" applyAlignment="1">
      <alignment horizontal="center"/>
    </xf>
    <xf numFmtId="0" fontId="16" fillId="0" borderId="0" xfId="2" applyFont="1"/>
    <xf numFmtId="0" fontId="16" fillId="0" borderId="1" xfId="2" applyFont="1" applyBorder="1" applyAlignment="1">
      <alignment vertical="center"/>
    </xf>
    <xf numFmtId="0" fontId="18" fillId="8" borderId="2" xfId="2" applyFont="1" applyFill="1" applyBorder="1"/>
    <xf numFmtId="0" fontId="18" fillId="0" borderId="0" xfId="2" applyFont="1"/>
    <xf numFmtId="168" fontId="18" fillId="0" borderId="0" xfId="2" applyNumberFormat="1" applyFont="1"/>
    <xf numFmtId="0" fontId="18" fillId="9" borderId="2" xfId="2" applyFont="1" applyFill="1" applyBorder="1"/>
    <xf numFmtId="169" fontId="18" fillId="9" borderId="2" xfId="2" applyNumberFormat="1" applyFont="1" applyFill="1" applyBorder="1"/>
    <xf numFmtId="169" fontId="18" fillId="0" borderId="0" xfId="2" applyNumberFormat="1" applyFont="1"/>
    <xf numFmtId="0" fontId="12" fillId="0" borderId="0" xfId="2"/>
    <xf numFmtId="170" fontId="22" fillId="0" borderId="0" xfId="2" applyNumberFormat="1" applyFont="1" applyAlignment="1">
      <alignment horizontal="center"/>
    </xf>
    <xf numFmtId="3" fontId="12" fillId="0" borderId="0" xfId="2" applyNumberFormat="1" applyAlignment="1">
      <alignment horizontal="center"/>
    </xf>
    <xf numFmtId="4" fontId="12" fillId="0" borderId="0" xfId="2" applyNumberFormat="1" applyAlignment="1">
      <alignment horizontal="center"/>
    </xf>
    <xf numFmtId="168" fontId="12" fillId="0" borderId="0" xfId="2" applyNumberFormat="1" applyAlignment="1">
      <alignment horizontal="center"/>
    </xf>
    <xf numFmtId="168" fontId="23" fillId="0" borderId="0" xfId="2" applyNumberFormat="1" applyFont="1" applyAlignment="1">
      <alignment horizontal="center"/>
    </xf>
    <xf numFmtId="0" fontId="16" fillId="0" borderId="1" xfId="2" applyFont="1" applyBorder="1" applyAlignment="1">
      <alignment horizontal="center" vertical="center"/>
    </xf>
    <xf numFmtId="0" fontId="21" fillId="3" borderId="4" xfId="2" applyFont="1" applyFill="1" applyBorder="1" applyAlignment="1">
      <alignment horizontal="centerContinuous"/>
    </xf>
    <xf numFmtId="0" fontId="21" fillId="3" borderId="0" xfId="2" applyFont="1" applyFill="1" applyAlignment="1">
      <alignment horizontal="center"/>
    </xf>
    <xf numFmtId="171" fontId="18" fillId="8" borderId="2" xfId="2" applyNumberFormat="1" applyFont="1" applyFill="1" applyBorder="1"/>
    <xf numFmtId="0" fontId="16" fillId="6" borderId="1" xfId="2" applyFont="1" applyFill="1" applyBorder="1"/>
    <xf numFmtId="9" fontId="14" fillId="0" borderId="0" xfId="2" applyNumberFormat="1" applyFont="1"/>
    <xf numFmtId="168" fontId="10" fillId="0" borderId="0" xfId="2" applyNumberFormat="1" applyFont="1"/>
    <xf numFmtId="4" fontId="12" fillId="6" borderId="0" xfId="2" applyNumberFormat="1" applyFill="1" applyAlignment="1">
      <alignment horizontal="center"/>
    </xf>
    <xf numFmtId="170" fontId="22" fillId="0" borderId="1" xfId="2" applyNumberFormat="1" applyFont="1" applyBorder="1" applyAlignment="1">
      <alignment horizontal="center"/>
    </xf>
    <xf numFmtId="4" fontId="12" fillId="0" borderId="1" xfId="2" applyNumberFormat="1" applyBorder="1" applyAlignment="1">
      <alignment horizontal="center"/>
    </xf>
    <xf numFmtId="168" fontId="12" fillId="0" borderId="1" xfId="2" applyNumberFormat="1" applyBorder="1" applyAlignment="1">
      <alignment horizontal="center"/>
    </xf>
    <xf numFmtId="168" fontId="23" fillId="0" borderId="1" xfId="2" applyNumberFormat="1" applyFont="1" applyBorder="1" applyAlignment="1">
      <alignment horizontal="center"/>
    </xf>
    <xf numFmtId="170" fontId="22" fillId="4" borderId="0" xfId="2" applyNumberFormat="1" applyFont="1" applyFill="1" applyAlignment="1">
      <alignment horizontal="center"/>
    </xf>
    <xf numFmtId="3" fontId="12" fillId="4" borderId="0" xfId="2" applyNumberFormat="1" applyFill="1" applyAlignment="1">
      <alignment horizontal="center"/>
    </xf>
    <xf numFmtId="4" fontId="12" fillId="4" borderId="0" xfId="2" applyNumberFormat="1" applyFill="1" applyAlignment="1">
      <alignment horizontal="center"/>
    </xf>
    <xf numFmtId="168" fontId="12" fillId="4" borderId="0" xfId="2" applyNumberFormat="1" applyFill="1" applyAlignment="1">
      <alignment horizontal="center"/>
    </xf>
    <xf numFmtId="168" fontId="23" fillId="4" borderId="0" xfId="2" applyNumberFormat="1" applyFont="1" applyFill="1" applyAlignment="1">
      <alignment horizontal="center"/>
    </xf>
    <xf numFmtId="172" fontId="0" fillId="0" borderId="0" xfId="0" applyNumberFormat="1"/>
    <xf numFmtId="172" fontId="0" fillId="0" borderId="0" xfId="0" applyNumberFormat="1" applyAlignment="1">
      <alignment horizontal="left" indent="2"/>
    </xf>
    <xf numFmtId="0" fontId="24" fillId="0" borderId="0" xfId="0" applyFont="1" applyAlignment="1">
      <alignment horizontal="right" indent="1"/>
    </xf>
    <xf numFmtId="165" fontId="11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7" borderId="1" xfId="0" applyFont="1" applyFill="1" applyBorder="1"/>
    <xf numFmtId="165" fontId="3" fillId="7" borderId="1" xfId="0" applyNumberFormat="1" applyFont="1" applyFill="1" applyBorder="1" applyAlignment="1">
      <alignment horizontal="center"/>
    </xf>
    <xf numFmtId="168" fontId="23" fillId="5" borderId="0" xfId="2" applyNumberFormat="1" applyFont="1" applyFill="1" applyAlignment="1">
      <alignment horizontal="center"/>
    </xf>
    <xf numFmtId="0" fontId="25" fillId="12" borderId="0" xfId="0" applyFont="1" applyFill="1" applyAlignment="1">
      <alignment horizontal="center"/>
    </xf>
    <xf numFmtId="0" fontId="26" fillId="12" borderId="0" xfId="0" applyFont="1" applyFill="1"/>
    <xf numFmtId="0" fontId="15" fillId="0" borderId="0" xfId="0" applyFont="1" applyAlignment="1">
      <alignment horizontal="left" vertical="center" indent="1"/>
    </xf>
    <xf numFmtId="173" fontId="11" fillId="0" borderId="0" xfId="0" applyNumberFormat="1" applyFont="1" applyAlignment="1">
      <alignment horizontal="left" vertical="center" indent="1"/>
    </xf>
    <xf numFmtId="4" fontId="23" fillId="0" borderId="0" xfId="2" applyNumberFormat="1" applyFont="1" applyAlignment="1">
      <alignment horizontal="center"/>
    </xf>
    <xf numFmtId="4" fontId="23" fillId="8" borderId="0" xfId="2" applyNumberFormat="1" applyFont="1" applyFill="1" applyAlignment="1">
      <alignment horizontal="center"/>
    </xf>
    <xf numFmtId="3" fontId="23" fillId="8" borderId="1" xfId="2" applyNumberFormat="1" applyFont="1" applyFill="1" applyBorder="1" applyAlignment="1">
      <alignment horizontal="center"/>
    </xf>
    <xf numFmtId="4" fontId="23" fillId="8" borderId="1" xfId="2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65" fontId="12" fillId="0" borderId="0" xfId="2" applyNumberFormat="1" applyAlignment="1">
      <alignment horizontal="center"/>
    </xf>
    <xf numFmtId="0" fontId="27" fillId="0" borderId="1" xfId="2" applyFont="1" applyBorder="1" applyAlignment="1">
      <alignment horizontal="center"/>
    </xf>
    <xf numFmtId="3" fontId="27" fillId="0" borderId="0" xfId="2" applyNumberFormat="1" applyFont="1" applyAlignment="1">
      <alignment horizontal="center"/>
    </xf>
    <xf numFmtId="165" fontId="28" fillId="10" borderId="0" xfId="2" applyNumberFormat="1" applyFont="1" applyFill="1" applyAlignment="1">
      <alignment horizontal="center"/>
    </xf>
    <xf numFmtId="0" fontId="0" fillId="14" borderId="0" xfId="0" applyFill="1"/>
    <xf numFmtId="0" fontId="18" fillId="10" borderId="0" xfId="2" applyFont="1" applyFill="1"/>
    <xf numFmtId="169" fontId="18" fillId="10" borderId="0" xfId="2" applyNumberFormat="1" applyFont="1" applyFill="1"/>
    <xf numFmtId="10" fontId="0" fillId="10" borderId="0" xfId="0" applyNumberFormat="1" applyFill="1" applyAlignment="1">
      <alignment horizontal="center" vertical="center"/>
    </xf>
    <xf numFmtId="10" fontId="10" fillId="10" borderId="0" xfId="2" applyNumberFormat="1" applyFont="1" applyFill="1" applyAlignment="1">
      <alignment horizontal="center"/>
    </xf>
    <xf numFmtId="0" fontId="10" fillId="10" borderId="0" xfId="2" applyFont="1" applyFill="1"/>
    <xf numFmtId="0" fontId="18" fillId="13" borderId="0" xfId="2" applyFont="1" applyFill="1"/>
    <xf numFmtId="0" fontId="10" fillId="13" borderId="0" xfId="2" applyFont="1" applyFill="1"/>
    <xf numFmtId="10" fontId="16" fillId="13" borderId="0" xfId="2" applyNumberFormat="1" applyFont="1" applyFill="1" applyAlignment="1">
      <alignment horizontal="center"/>
    </xf>
    <xf numFmtId="164" fontId="10" fillId="0" borderId="0" xfId="2" applyNumberFormat="1" applyFont="1" applyAlignment="1">
      <alignment horizontal="center"/>
    </xf>
    <xf numFmtId="10" fontId="22" fillId="0" borderId="1" xfId="2" applyNumberFormat="1" applyFont="1" applyBorder="1" applyAlignment="1">
      <alignment horizontal="center"/>
    </xf>
    <xf numFmtId="165" fontId="10" fillId="0" borderId="0" xfId="2" applyNumberFormat="1" applyFont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0" fontId="29" fillId="13" borderId="0" xfId="2" applyFont="1" applyFill="1" applyAlignment="1">
      <alignment horizontal="center" vertical="center"/>
    </xf>
    <xf numFmtId="164" fontId="30" fillId="11" borderId="1" xfId="2" applyNumberFormat="1" applyFont="1" applyFill="1" applyBorder="1" applyAlignment="1">
      <alignment horizontal="center"/>
    </xf>
    <xf numFmtId="173" fontId="18" fillId="0" borderId="0" xfId="0" applyNumberFormat="1" applyFont="1" applyAlignment="1">
      <alignment horizontal="left" vertical="center" indent="1"/>
    </xf>
    <xf numFmtId="0" fontId="31" fillId="12" borderId="0" xfId="0" applyFont="1" applyFill="1"/>
    <xf numFmtId="0" fontId="7" fillId="12" borderId="0" xfId="0" applyFont="1" applyFill="1"/>
    <xf numFmtId="165" fontId="3" fillId="0" borderId="0" xfId="0" applyNumberFormat="1" applyFont="1" applyAlignment="1">
      <alignment horizontal="center" vertical="center"/>
    </xf>
    <xf numFmtId="0" fontId="18" fillId="13" borderId="0" xfId="2" applyFont="1" applyFill="1" applyAlignment="1">
      <alignment vertical="center"/>
    </xf>
    <xf numFmtId="169" fontId="18" fillId="13" borderId="0" xfId="2" applyNumberFormat="1" applyFont="1" applyFill="1" applyAlignment="1">
      <alignment vertical="center"/>
    </xf>
    <xf numFmtId="173" fontId="11" fillId="4" borderId="0" xfId="0" applyNumberFormat="1" applyFont="1" applyFill="1" applyAlignment="1">
      <alignment horizontal="left" vertical="center" indent="1"/>
    </xf>
    <xf numFmtId="164" fontId="3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10" fontId="0" fillId="13" borderId="0" xfId="0" applyNumberFormat="1" applyFill="1" applyAlignment="1">
      <alignment vertical="center"/>
    </xf>
    <xf numFmtId="0" fontId="18" fillId="13" borderId="1" xfId="2" applyFont="1" applyFill="1" applyBorder="1" applyAlignment="1">
      <alignment vertical="center"/>
    </xf>
    <xf numFmtId="174" fontId="18" fillId="13" borderId="1" xfId="2" applyNumberFormat="1" applyFont="1" applyFill="1" applyBorder="1" applyAlignment="1">
      <alignment horizontal="left" vertical="center"/>
    </xf>
    <xf numFmtId="10" fontId="0" fillId="13" borderId="1" xfId="0" applyNumberFormat="1" applyFill="1" applyBorder="1" applyAlignment="1">
      <alignment vertical="center"/>
    </xf>
    <xf numFmtId="0" fontId="10" fillId="0" borderId="0" xfId="2" applyFont="1" applyAlignment="1">
      <alignment horizontal="left" indent="1"/>
    </xf>
    <xf numFmtId="0" fontId="10" fillId="0" borderId="0" xfId="2" applyFont="1" applyAlignment="1">
      <alignment horizontal="left" indent="3"/>
    </xf>
    <xf numFmtId="0" fontId="16" fillId="0" borderId="0" xfId="2" applyFont="1" applyAlignment="1">
      <alignment horizontal="left" indent="1"/>
    </xf>
    <xf numFmtId="10" fontId="10" fillId="0" borderId="0" xfId="2" applyNumberFormat="1" applyFont="1" applyAlignment="1">
      <alignment horizontal="center"/>
    </xf>
    <xf numFmtId="176" fontId="32" fillId="0" borderId="0" xfId="2" applyNumberFormat="1" applyFont="1" applyAlignment="1">
      <alignment horizontal="left"/>
    </xf>
    <xf numFmtId="177" fontId="14" fillId="0" borderId="0" xfId="2" applyNumberFormat="1" applyFont="1" applyAlignment="1">
      <alignment horizontal="left"/>
    </xf>
    <xf numFmtId="0" fontId="10" fillId="0" borderId="0" xfId="2" applyFont="1" applyAlignment="1">
      <alignment horizontal="left"/>
    </xf>
    <xf numFmtId="178" fontId="14" fillId="0" borderId="0" xfId="2" applyNumberFormat="1" applyFont="1" applyAlignment="1">
      <alignment horizontal="left"/>
    </xf>
    <xf numFmtId="0" fontId="14" fillId="0" borderId="0" xfId="2" applyFont="1" applyAlignment="1">
      <alignment horizontal="left"/>
    </xf>
    <xf numFmtId="0" fontId="16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8" fillId="4" borderId="0" xfId="2" applyFont="1" applyFill="1"/>
    <xf numFmtId="0" fontId="10" fillId="4" borderId="0" xfId="2" applyFont="1" applyFill="1"/>
    <xf numFmtId="15" fontId="16" fillId="6" borderId="1" xfId="2" applyNumberFormat="1" applyFont="1" applyFill="1" applyBorder="1" applyAlignment="1">
      <alignment horizontal="center"/>
    </xf>
    <xf numFmtId="175" fontId="16" fillId="6" borderId="1" xfId="2" applyNumberFormat="1" applyFont="1" applyFill="1" applyBorder="1" applyAlignment="1">
      <alignment horizontal="center"/>
    </xf>
    <xf numFmtId="10" fontId="33" fillId="0" borderId="0" xfId="2" applyNumberFormat="1" applyFont="1" applyAlignment="1">
      <alignment horizontal="center"/>
    </xf>
    <xf numFmtId="3" fontId="8" fillId="4" borderId="3" xfId="2" applyNumberFormat="1" applyFont="1" applyFill="1" applyBorder="1" applyAlignment="1">
      <alignment horizontal="center" vertical="center"/>
    </xf>
    <xf numFmtId="43" fontId="8" fillId="4" borderId="3" xfId="6" quotePrefix="1" applyFont="1" applyFill="1" applyBorder="1" applyAlignment="1">
      <alignment vertical="center"/>
    </xf>
    <xf numFmtId="3" fontId="22" fillId="8" borderId="0" xfId="2" applyNumberFormat="1" applyFont="1" applyFill="1" applyAlignment="1">
      <alignment horizontal="center"/>
    </xf>
    <xf numFmtId="0" fontId="32" fillId="0" borderId="0" xfId="2" applyFont="1" applyAlignment="1">
      <alignment horizontal="left" indent="2"/>
    </xf>
    <xf numFmtId="10" fontId="32" fillId="0" borderId="0" xfId="2" applyNumberFormat="1" applyFont="1" applyAlignment="1">
      <alignment horizontal="center"/>
    </xf>
    <xf numFmtId="0" fontId="32" fillId="0" borderId="0" xfId="2" applyFont="1"/>
    <xf numFmtId="0" fontId="16" fillId="0" borderId="0" xfId="2" applyFont="1" applyAlignment="1">
      <alignment vertical="center"/>
    </xf>
    <xf numFmtId="0" fontId="16" fillId="0" borderId="1" xfId="2" applyFont="1" applyBorder="1"/>
    <xf numFmtId="3" fontId="10" fillId="0" borderId="1" xfId="2" applyNumberFormat="1" applyFont="1" applyBorder="1" applyAlignment="1">
      <alignment horizontal="center"/>
    </xf>
    <xf numFmtId="3" fontId="16" fillId="6" borderId="1" xfId="2" applyNumberFormat="1" applyFont="1" applyFill="1" applyBorder="1" applyAlignment="1">
      <alignment horizontal="center"/>
    </xf>
    <xf numFmtId="3" fontId="34" fillId="0" borderId="1" xfId="2" applyNumberFormat="1" applyFont="1" applyBorder="1" applyAlignment="1">
      <alignment horizontal="center"/>
    </xf>
    <xf numFmtId="169" fontId="16" fillId="0" borderId="0" xfId="2" applyNumberFormat="1" applyFont="1" applyAlignment="1">
      <alignment horizontal="right" vertical="center" indent="1"/>
    </xf>
    <xf numFmtId="0" fontId="10" fillId="0" borderId="0" xfId="2" applyFont="1" applyAlignment="1">
      <alignment vertical="center"/>
    </xf>
    <xf numFmtId="9" fontId="10" fillId="0" borderId="0" xfId="2" applyNumberFormat="1" applyFont="1" applyAlignment="1">
      <alignment vertical="center"/>
    </xf>
    <xf numFmtId="0" fontId="16" fillId="7" borderId="0" xfId="2" applyFont="1" applyFill="1" applyAlignment="1">
      <alignment horizontal="left" indent="1"/>
    </xf>
    <xf numFmtId="0" fontId="10" fillId="7" borderId="0" xfId="2" applyFont="1" applyFill="1" applyAlignment="1">
      <alignment horizontal="left" indent="1"/>
    </xf>
    <xf numFmtId="0" fontId="14" fillId="7" borderId="0" xfId="2" applyFont="1" applyFill="1" applyAlignment="1">
      <alignment horizontal="left"/>
    </xf>
    <xf numFmtId="0" fontId="16" fillId="7" borderId="1" xfId="2" applyFont="1" applyFill="1" applyBorder="1" applyAlignment="1">
      <alignment horizontal="left" indent="1"/>
    </xf>
    <xf numFmtId="0" fontId="10" fillId="7" borderId="1" xfId="2" applyFont="1" applyFill="1" applyBorder="1" applyAlignment="1">
      <alignment horizontal="left" indent="1"/>
    </xf>
    <xf numFmtId="0" fontId="14" fillId="7" borderId="1" xfId="2" applyFont="1" applyFill="1" applyBorder="1" applyAlignment="1">
      <alignment horizontal="left"/>
    </xf>
    <xf numFmtId="164" fontId="16" fillId="7" borderId="0" xfId="2" applyNumberFormat="1" applyFont="1" applyFill="1" applyAlignment="1">
      <alignment horizontal="center"/>
    </xf>
    <xf numFmtId="164" fontId="16" fillId="7" borderId="1" xfId="2" applyNumberFormat="1" applyFont="1" applyFill="1" applyBorder="1" applyAlignment="1">
      <alignment horizontal="center"/>
    </xf>
    <xf numFmtId="0" fontId="10" fillId="0" borderId="0" xfId="2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66" fontId="0" fillId="0" borderId="0" xfId="0" applyNumberFormat="1"/>
    <xf numFmtId="166" fontId="0" fillId="4" borderId="0" xfId="0" applyNumberFormat="1" applyFill="1"/>
    <xf numFmtId="180" fontId="3" fillId="10" borderId="0" xfId="0" applyNumberFormat="1" applyFont="1" applyFill="1"/>
    <xf numFmtId="180" fontId="2" fillId="4" borderId="0" xfId="0" applyNumberFormat="1" applyFont="1" applyFill="1"/>
    <xf numFmtId="0" fontId="35" fillId="6" borderId="0" xfId="2" applyFont="1" applyFill="1"/>
    <xf numFmtId="0" fontId="3" fillId="6" borderId="0" xfId="2" applyFont="1" applyFill="1"/>
    <xf numFmtId="0" fontId="1" fillId="0" borderId="0" xfId="2" applyFont="1"/>
    <xf numFmtId="0" fontId="1" fillId="0" borderId="0" xfId="0" applyFont="1"/>
    <xf numFmtId="179" fontId="36" fillId="0" borderId="0" xfId="7" applyNumberFormat="1" applyFont="1"/>
    <xf numFmtId="167" fontId="36" fillId="0" borderId="0" xfId="5" applyFont="1"/>
    <xf numFmtId="0" fontId="35" fillId="10" borderId="0" xfId="2" applyFont="1" applyFill="1"/>
    <xf numFmtId="0" fontId="37" fillId="4" borderId="0" xfId="2" applyFont="1" applyFill="1"/>
    <xf numFmtId="0" fontId="36" fillId="0" borderId="0" xfId="2" applyFont="1" applyAlignment="1">
      <alignment horizontal="left" indent="1"/>
    </xf>
    <xf numFmtId="0" fontId="35" fillId="5" borderId="0" xfId="2" applyFont="1" applyFill="1"/>
    <xf numFmtId="179" fontId="35" fillId="5" borderId="0" xfId="7" applyNumberFormat="1" applyFont="1" applyFill="1"/>
    <xf numFmtId="0" fontId="3" fillId="5" borderId="0" xfId="2" applyFont="1" applyFill="1"/>
    <xf numFmtId="0" fontId="38" fillId="0" borderId="0" xfId="0" applyFont="1"/>
    <xf numFmtId="3" fontId="10" fillId="0" borderId="0" xfId="2" applyNumberFormat="1" applyFont="1" applyAlignment="1">
      <alignment horizontal="right" indent="2"/>
    </xf>
    <xf numFmtId="9" fontId="10" fillId="0" borderId="0" xfId="2" applyNumberFormat="1" applyFont="1" applyAlignment="1">
      <alignment horizontal="right" indent="2"/>
    </xf>
    <xf numFmtId="10" fontId="16" fillId="6" borderId="1" xfId="2" applyNumberFormat="1" applyFont="1" applyFill="1" applyBorder="1" applyAlignment="1">
      <alignment horizontal="right" indent="2"/>
    </xf>
    <xf numFmtId="0" fontId="39" fillId="13" borderId="0" xfId="0" applyFont="1" applyFill="1" applyAlignment="1">
      <alignment vertical="center"/>
    </xf>
    <xf numFmtId="0" fontId="0" fillId="13" borderId="0" xfId="0" applyFill="1" applyAlignment="1">
      <alignment horizontal="center"/>
    </xf>
    <xf numFmtId="0" fontId="40" fillId="13" borderId="0" xfId="0" applyFont="1" applyFill="1" applyAlignment="1">
      <alignment horizontal="center" vertical="center"/>
    </xf>
    <xf numFmtId="0" fontId="41" fillId="0" borderId="0" xfId="0" applyFont="1"/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1" xfId="0" applyFont="1" applyBorder="1"/>
    <xf numFmtId="0" fontId="6" fillId="0" borderId="0" xfId="1" applyFont="1" applyAlignment="1">
      <alignment horizontal="left" wrapText="1"/>
    </xf>
    <xf numFmtId="0" fontId="21" fillId="3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horizontal="center" vertical="center"/>
    </xf>
    <xf numFmtId="0" fontId="22" fillId="14" borderId="0" xfId="2" applyFont="1" applyFill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173" fontId="14" fillId="0" borderId="0" xfId="0" applyNumberFormat="1" applyFont="1" applyAlignment="1">
      <alignment horizontal="left" vertical="center" wrapText="1"/>
    </xf>
    <xf numFmtId="166" fontId="2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/>
    <xf numFmtId="0" fontId="44" fillId="2" borderId="0" xfId="1" applyFont="1" applyFill="1"/>
    <xf numFmtId="0" fontId="45" fillId="2" borderId="0" xfId="1" applyFont="1" applyFill="1"/>
  </cellXfs>
  <cellStyles count="8">
    <cellStyle name="Comma" xfId="6" builtinId="3"/>
    <cellStyle name="Moeda 2" xfId="5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orcentagem 2" xfId="4" xr:uid="{00000000-0005-0000-0000-000004000000}"/>
    <cellStyle name="Vírgula 2" xfId="3" xr:uid="{00000000-0005-0000-0000-000006000000}"/>
    <cellStyle name="Vírgula 3" xfId="7" xr:uid="{00000000-0005-0000-0000-000007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F223946-8C4C-47FE-AEA6-D43A384BEE75}" type="doc">
      <dgm:prSet loTypeId="urn:microsoft.com/office/officeart/2005/8/layout/cycle4" loCatId="matrix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pt-BR"/>
        </a:p>
      </dgm:t>
    </dgm:pt>
    <dgm:pt modelId="{E11B11B9-868A-4C86-ADC3-E888DA9D83A0}">
      <dgm:prSet phldrT="[Texto]"/>
      <dgm:spPr/>
      <dgm:t>
        <a:bodyPr/>
        <a:lstStyle/>
        <a:p>
          <a:r>
            <a:rPr lang="pt-BR"/>
            <a:t>Disciplina</a:t>
          </a:r>
        </a:p>
      </dgm:t>
    </dgm:pt>
    <dgm:pt modelId="{8D1F9192-8AF6-4583-A25F-F9BC233DFB5B}" type="parTrans" cxnId="{F9EE9D3A-6DDF-4C48-9BD3-520D68C8F5C5}">
      <dgm:prSet/>
      <dgm:spPr/>
      <dgm:t>
        <a:bodyPr/>
        <a:lstStyle/>
        <a:p>
          <a:endParaRPr lang="pt-BR"/>
        </a:p>
      </dgm:t>
    </dgm:pt>
    <dgm:pt modelId="{B01882AE-32DB-42ED-AC8E-BB799F97D0CC}" type="sibTrans" cxnId="{F9EE9D3A-6DDF-4C48-9BD3-520D68C8F5C5}">
      <dgm:prSet/>
      <dgm:spPr/>
      <dgm:t>
        <a:bodyPr/>
        <a:lstStyle/>
        <a:p>
          <a:endParaRPr lang="pt-BR"/>
        </a:p>
      </dgm:t>
    </dgm:pt>
    <dgm:pt modelId="{1BD52789-D6E8-40C9-A881-A91CF73ED1F4}">
      <dgm:prSet phldrT="[Texto]" custT="1"/>
      <dgm:spPr/>
      <dgm:t>
        <a:bodyPr/>
        <a:lstStyle/>
        <a:p>
          <a:r>
            <a:rPr lang="pt-BR" sz="1100"/>
            <a:t>Baixos níveis de Disciplina Financeira, favorecem Decisão da Compra*</a:t>
          </a:r>
        </a:p>
      </dgm:t>
    </dgm:pt>
    <dgm:pt modelId="{37E3BCFC-3660-4756-B9F6-63862716CB22}" type="parTrans" cxnId="{16FE95EA-1264-4CC3-B8A7-D7755A5BCF17}">
      <dgm:prSet/>
      <dgm:spPr/>
      <dgm:t>
        <a:bodyPr/>
        <a:lstStyle/>
        <a:p>
          <a:endParaRPr lang="pt-BR"/>
        </a:p>
      </dgm:t>
    </dgm:pt>
    <dgm:pt modelId="{991B3B1C-9159-4F29-9595-70511832C368}" type="sibTrans" cxnId="{16FE95EA-1264-4CC3-B8A7-D7755A5BCF17}">
      <dgm:prSet/>
      <dgm:spPr/>
      <dgm:t>
        <a:bodyPr/>
        <a:lstStyle/>
        <a:p>
          <a:endParaRPr lang="pt-BR"/>
        </a:p>
      </dgm:t>
    </dgm:pt>
    <dgm:pt modelId="{43810523-3091-4E34-9D2B-C8EDF0F429CE}">
      <dgm:prSet phldrT="[Texto]"/>
      <dgm:spPr/>
      <dgm:t>
        <a:bodyPr/>
        <a:lstStyle/>
        <a:p>
          <a:r>
            <a:rPr lang="pt-BR"/>
            <a:t>Submissão</a:t>
          </a:r>
        </a:p>
      </dgm:t>
    </dgm:pt>
    <dgm:pt modelId="{62672C03-B215-4A01-A0E9-CA4A47B28C0F}" type="parTrans" cxnId="{4227D3C3-BC62-4F15-A1F8-F8F4E554C4D7}">
      <dgm:prSet/>
      <dgm:spPr/>
      <dgm:t>
        <a:bodyPr/>
        <a:lstStyle/>
        <a:p>
          <a:endParaRPr lang="pt-BR"/>
        </a:p>
      </dgm:t>
    </dgm:pt>
    <dgm:pt modelId="{DC97317D-E049-46A3-9DEC-2EA81C7C9738}" type="sibTrans" cxnId="{4227D3C3-BC62-4F15-A1F8-F8F4E554C4D7}">
      <dgm:prSet/>
      <dgm:spPr/>
      <dgm:t>
        <a:bodyPr/>
        <a:lstStyle/>
        <a:p>
          <a:endParaRPr lang="pt-BR"/>
        </a:p>
      </dgm:t>
    </dgm:pt>
    <dgm:pt modelId="{FCF4DEA2-7D80-47AD-BDC7-523F7A825FC7}">
      <dgm:prSet phldrT="[Texto]" custT="1"/>
      <dgm:spPr/>
      <dgm:t>
        <a:bodyPr/>
        <a:lstStyle/>
        <a:p>
          <a:r>
            <a:rPr lang="pt-BR" sz="1100"/>
            <a:t>Pouca tolerância às autorizações/decisões do proprietário, favorecem Decisão da Compra*</a:t>
          </a:r>
        </a:p>
      </dgm:t>
    </dgm:pt>
    <dgm:pt modelId="{9F1FFE95-4695-413A-92A6-814AF935D5E4}" type="parTrans" cxnId="{D1F50882-BC49-482D-9B08-9F278D0F8719}">
      <dgm:prSet/>
      <dgm:spPr/>
      <dgm:t>
        <a:bodyPr/>
        <a:lstStyle/>
        <a:p>
          <a:endParaRPr lang="pt-BR"/>
        </a:p>
      </dgm:t>
    </dgm:pt>
    <dgm:pt modelId="{F794E16D-3E4C-4F95-A227-5C7C16460665}" type="sibTrans" cxnId="{D1F50882-BC49-482D-9B08-9F278D0F8719}">
      <dgm:prSet/>
      <dgm:spPr/>
      <dgm:t>
        <a:bodyPr/>
        <a:lstStyle/>
        <a:p>
          <a:endParaRPr lang="pt-BR"/>
        </a:p>
      </dgm:t>
    </dgm:pt>
    <dgm:pt modelId="{A3E9F50C-0CCB-4DE7-B39A-BFC7583573F3}">
      <dgm:prSet phldrT="[Texto]"/>
      <dgm:spPr/>
      <dgm:t>
        <a:bodyPr/>
        <a:lstStyle/>
        <a:p>
          <a:r>
            <a:rPr lang="pt-BR"/>
            <a:t>Segurança</a:t>
          </a:r>
        </a:p>
      </dgm:t>
    </dgm:pt>
    <dgm:pt modelId="{B61CD793-7247-4692-8DF2-C99E91E98ADA}" type="parTrans" cxnId="{390862DD-B81C-457E-8ADE-171D829EA61D}">
      <dgm:prSet/>
      <dgm:spPr/>
      <dgm:t>
        <a:bodyPr/>
        <a:lstStyle/>
        <a:p>
          <a:endParaRPr lang="pt-BR"/>
        </a:p>
      </dgm:t>
    </dgm:pt>
    <dgm:pt modelId="{D75F5F68-24BC-4F4F-AEBC-50CDEC339651}" type="sibTrans" cxnId="{390862DD-B81C-457E-8ADE-171D829EA61D}">
      <dgm:prSet/>
      <dgm:spPr/>
      <dgm:t>
        <a:bodyPr/>
        <a:lstStyle/>
        <a:p>
          <a:endParaRPr lang="pt-BR"/>
        </a:p>
      </dgm:t>
    </dgm:pt>
    <dgm:pt modelId="{331478F6-9CC4-4CF5-BD9C-410667C327B4}">
      <dgm:prSet phldrT="[Texto]" custT="1"/>
      <dgm:spPr/>
      <dgm:t>
        <a:bodyPr/>
        <a:lstStyle/>
        <a:p>
          <a:r>
            <a:rPr lang="pt-BR" sz="1100"/>
            <a:t>    Preferências por preservar alto volume de reservas financeiras, favorecem Decisão em prol do Aluguel*</a:t>
          </a:r>
        </a:p>
      </dgm:t>
    </dgm:pt>
    <dgm:pt modelId="{FF154CB9-7EC9-410A-8FD3-50FC3060B552}" type="parTrans" cxnId="{451D44D2-2E4C-4058-A64F-3F56381EBCFB}">
      <dgm:prSet/>
      <dgm:spPr/>
      <dgm:t>
        <a:bodyPr/>
        <a:lstStyle/>
        <a:p>
          <a:endParaRPr lang="pt-BR"/>
        </a:p>
      </dgm:t>
    </dgm:pt>
    <dgm:pt modelId="{0DE0C4A2-F5F4-4D74-B55A-23A64B3F42C4}" type="sibTrans" cxnId="{451D44D2-2E4C-4058-A64F-3F56381EBCFB}">
      <dgm:prSet/>
      <dgm:spPr/>
      <dgm:t>
        <a:bodyPr/>
        <a:lstStyle/>
        <a:p>
          <a:endParaRPr lang="pt-BR"/>
        </a:p>
      </dgm:t>
    </dgm:pt>
    <dgm:pt modelId="{E8404DAC-5D50-43FE-91EF-076EE32C8F84}">
      <dgm:prSet phldrT="[Texto]"/>
      <dgm:spPr/>
      <dgm:t>
        <a:bodyPr/>
        <a:lstStyle/>
        <a:p>
          <a:r>
            <a:rPr lang="pt-BR"/>
            <a:t>Mobilidade</a:t>
          </a:r>
        </a:p>
      </dgm:t>
    </dgm:pt>
    <dgm:pt modelId="{9785BFFD-2E68-41B2-844D-6B0984AC8869}" type="parTrans" cxnId="{8C59F734-5FC8-4D5B-AE36-6AAD469BEEE8}">
      <dgm:prSet/>
      <dgm:spPr/>
      <dgm:t>
        <a:bodyPr/>
        <a:lstStyle/>
        <a:p>
          <a:endParaRPr lang="pt-BR"/>
        </a:p>
      </dgm:t>
    </dgm:pt>
    <dgm:pt modelId="{9ED74BE7-F926-4238-8E08-8E9116478CF3}" type="sibTrans" cxnId="{8C59F734-5FC8-4D5B-AE36-6AAD469BEEE8}">
      <dgm:prSet/>
      <dgm:spPr/>
      <dgm:t>
        <a:bodyPr/>
        <a:lstStyle/>
        <a:p>
          <a:endParaRPr lang="pt-BR"/>
        </a:p>
      </dgm:t>
    </dgm:pt>
    <dgm:pt modelId="{C8564285-6BB2-49C4-8914-8ADD65A903AD}">
      <dgm:prSet phldrT="[Texto]" custT="1"/>
      <dgm:spPr/>
      <dgm:t>
        <a:bodyPr/>
        <a:lstStyle/>
        <a:p>
          <a:r>
            <a:rPr lang="pt-BR" sz="1100"/>
            <a:t>Preferências por </a:t>
          </a:r>
          <a:br>
            <a:rPr lang="pt-BR" sz="1100"/>
          </a:br>
          <a:r>
            <a:rPr lang="pt-BR" sz="1100"/>
            <a:t>mobilidade, adaptabilidade, deslocamento, favorecem decisão de Alugar*</a:t>
          </a:r>
        </a:p>
      </dgm:t>
    </dgm:pt>
    <dgm:pt modelId="{62C53766-7DBF-407C-A7F6-C723269D4CFD}" type="parTrans" cxnId="{705E109E-2832-4193-87BA-A1FD5F6D15BD}">
      <dgm:prSet/>
      <dgm:spPr/>
      <dgm:t>
        <a:bodyPr/>
        <a:lstStyle/>
        <a:p>
          <a:endParaRPr lang="pt-BR"/>
        </a:p>
      </dgm:t>
    </dgm:pt>
    <dgm:pt modelId="{A72DFE70-EFA3-41DF-BD71-E1A2BE2BDDE8}" type="sibTrans" cxnId="{705E109E-2832-4193-87BA-A1FD5F6D15BD}">
      <dgm:prSet/>
      <dgm:spPr/>
      <dgm:t>
        <a:bodyPr/>
        <a:lstStyle/>
        <a:p>
          <a:endParaRPr lang="pt-BR"/>
        </a:p>
      </dgm:t>
    </dgm:pt>
    <dgm:pt modelId="{CC0C570A-DE2F-45BD-8E24-A5F4795579C2}" type="pres">
      <dgm:prSet presAssocID="{4F223946-8C4C-47FE-AEA6-D43A384BEE75}" presName="cycleMatrixDiagram" presStyleCnt="0">
        <dgm:presLayoutVars>
          <dgm:chMax val="1"/>
          <dgm:dir/>
          <dgm:animLvl val="lvl"/>
          <dgm:resizeHandles val="exact"/>
        </dgm:presLayoutVars>
      </dgm:prSet>
      <dgm:spPr/>
    </dgm:pt>
    <dgm:pt modelId="{FE63E7CB-2C81-463D-95DE-F702564F5062}" type="pres">
      <dgm:prSet presAssocID="{4F223946-8C4C-47FE-AEA6-D43A384BEE75}" presName="children" presStyleCnt="0"/>
      <dgm:spPr/>
    </dgm:pt>
    <dgm:pt modelId="{6A275A48-F797-401C-AC58-667D16D8927D}" type="pres">
      <dgm:prSet presAssocID="{4F223946-8C4C-47FE-AEA6-D43A384BEE75}" presName="child1group" presStyleCnt="0"/>
      <dgm:spPr/>
    </dgm:pt>
    <dgm:pt modelId="{872A1269-6850-4391-99F5-DBADBE363900}" type="pres">
      <dgm:prSet presAssocID="{4F223946-8C4C-47FE-AEA6-D43A384BEE75}" presName="child1" presStyleLbl="bgAcc1" presStyleIdx="0" presStyleCnt="4"/>
      <dgm:spPr/>
    </dgm:pt>
    <dgm:pt modelId="{415A16EE-FF9B-4F16-A27C-6E52DE19DE8D}" type="pres">
      <dgm:prSet presAssocID="{4F223946-8C4C-47FE-AEA6-D43A384BEE75}" presName="child1Text" presStyleLbl="bgAcc1" presStyleIdx="0" presStyleCnt="4">
        <dgm:presLayoutVars>
          <dgm:bulletEnabled val="1"/>
        </dgm:presLayoutVars>
      </dgm:prSet>
      <dgm:spPr/>
    </dgm:pt>
    <dgm:pt modelId="{9A6C6FFC-48E7-46A9-9B73-2E3C0F595C59}" type="pres">
      <dgm:prSet presAssocID="{4F223946-8C4C-47FE-AEA6-D43A384BEE75}" presName="child2group" presStyleCnt="0"/>
      <dgm:spPr/>
    </dgm:pt>
    <dgm:pt modelId="{3365F9AE-F79B-4F3F-BA66-74C7ADDFC369}" type="pres">
      <dgm:prSet presAssocID="{4F223946-8C4C-47FE-AEA6-D43A384BEE75}" presName="child2" presStyleLbl="bgAcc1" presStyleIdx="1" presStyleCnt="4"/>
      <dgm:spPr/>
    </dgm:pt>
    <dgm:pt modelId="{C8B990DC-3F2A-4FA4-B2C5-E470FE643C3D}" type="pres">
      <dgm:prSet presAssocID="{4F223946-8C4C-47FE-AEA6-D43A384BEE75}" presName="child2Text" presStyleLbl="bgAcc1" presStyleIdx="1" presStyleCnt="4">
        <dgm:presLayoutVars>
          <dgm:bulletEnabled val="1"/>
        </dgm:presLayoutVars>
      </dgm:prSet>
      <dgm:spPr/>
    </dgm:pt>
    <dgm:pt modelId="{3A6C6E64-6301-4D24-9EEC-CE249B4757BA}" type="pres">
      <dgm:prSet presAssocID="{4F223946-8C4C-47FE-AEA6-D43A384BEE75}" presName="child3group" presStyleCnt="0"/>
      <dgm:spPr/>
    </dgm:pt>
    <dgm:pt modelId="{8896DA89-F480-4889-92A8-A8119BBC2767}" type="pres">
      <dgm:prSet presAssocID="{4F223946-8C4C-47FE-AEA6-D43A384BEE75}" presName="child3" presStyleLbl="bgAcc1" presStyleIdx="2" presStyleCnt="4"/>
      <dgm:spPr/>
    </dgm:pt>
    <dgm:pt modelId="{EE9E9C58-E3F4-4A94-ADBA-E4E59DDCB646}" type="pres">
      <dgm:prSet presAssocID="{4F223946-8C4C-47FE-AEA6-D43A384BEE75}" presName="child3Text" presStyleLbl="bgAcc1" presStyleIdx="2" presStyleCnt="4">
        <dgm:presLayoutVars>
          <dgm:bulletEnabled val="1"/>
        </dgm:presLayoutVars>
      </dgm:prSet>
      <dgm:spPr/>
    </dgm:pt>
    <dgm:pt modelId="{A9F102B1-CA65-4AB2-A12F-EE89970AF638}" type="pres">
      <dgm:prSet presAssocID="{4F223946-8C4C-47FE-AEA6-D43A384BEE75}" presName="child4group" presStyleCnt="0"/>
      <dgm:spPr/>
    </dgm:pt>
    <dgm:pt modelId="{816160CB-6281-4325-AF9B-62AE767A6F33}" type="pres">
      <dgm:prSet presAssocID="{4F223946-8C4C-47FE-AEA6-D43A384BEE75}" presName="child4" presStyleLbl="bgAcc1" presStyleIdx="3" presStyleCnt="4"/>
      <dgm:spPr/>
    </dgm:pt>
    <dgm:pt modelId="{E4BA6D6B-5ABE-4CB5-BC26-3B9EF4003DD0}" type="pres">
      <dgm:prSet presAssocID="{4F223946-8C4C-47FE-AEA6-D43A384BEE75}" presName="child4Text" presStyleLbl="bgAcc1" presStyleIdx="3" presStyleCnt="4">
        <dgm:presLayoutVars>
          <dgm:bulletEnabled val="1"/>
        </dgm:presLayoutVars>
      </dgm:prSet>
      <dgm:spPr/>
    </dgm:pt>
    <dgm:pt modelId="{818E0EEF-D0E3-493A-8B83-56F95BE78116}" type="pres">
      <dgm:prSet presAssocID="{4F223946-8C4C-47FE-AEA6-D43A384BEE75}" presName="childPlaceholder" presStyleCnt="0"/>
      <dgm:spPr/>
    </dgm:pt>
    <dgm:pt modelId="{2337EAAB-63C5-441D-93CC-2202CAB29F99}" type="pres">
      <dgm:prSet presAssocID="{4F223946-8C4C-47FE-AEA6-D43A384BEE75}" presName="circle" presStyleCnt="0"/>
      <dgm:spPr/>
    </dgm:pt>
    <dgm:pt modelId="{E39089E6-1304-44F0-8B34-7490DDF6F0B1}" type="pres">
      <dgm:prSet presAssocID="{4F223946-8C4C-47FE-AEA6-D43A384BEE75}" presName="quadrant1" presStyleLbl="node1" presStyleIdx="0" presStyleCnt="4">
        <dgm:presLayoutVars>
          <dgm:chMax val="1"/>
          <dgm:bulletEnabled val="1"/>
        </dgm:presLayoutVars>
      </dgm:prSet>
      <dgm:spPr/>
    </dgm:pt>
    <dgm:pt modelId="{51D95CB4-8CF7-4F03-9053-D0E6F6B67A7D}" type="pres">
      <dgm:prSet presAssocID="{4F223946-8C4C-47FE-AEA6-D43A384BEE75}" presName="quadrant2" presStyleLbl="node1" presStyleIdx="1" presStyleCnt="4">
        <dgm:presLayoutVars>
          <dgm:chMax val="1"/>
          <dgm:bulletEnabled val="1"/>
        </dgm:presLayoutVars>
      </dgm:prSet>
      <dgm:spPr/>
    </dgm:pt>
    <dgm:pt modelId="{78439DCB-2A0E-4412-B0FE-A4974E2AB5C7}" type="pres">
      <dgm:prSet presAssocID="{4F223946-8C4C-47FE-AEA6-D43A384BEE75}" presName="quadrant3" presStyleLbl="node1" presStyleIdx="2" presStyleCnt="4">
        <dgm:presLayoutVars>
          <dgm:chMax val="1"/>
          <dgm:bulletEnabled val="1"/>
        </dgm:presLayoutVars>
      </dgm:prSet>
      <dgm:spPr/>
    </dgm:pt>
    <dgm:pt modelId="{99623156-A9B5-421C-B646-CAF668BA375C}" type="pres">
      <dgm:prSet presAssocID="{4F223946-8C4C-47FE-AEA6-D43A384BEE75}" presName="quadrant4" presStyleLbl="node1" presStyleIdx="3" presStyleCnt="4">
        <dgm:presLayoutVars>
          <dgm:chMax val="1"/>
          <dgm:bulletEnabled val="1"/>
        </dgm:presLayoutVars>
      </dgm:prSet>
      <dgm:spPr/>
    </dgm:pt>
    <dgm:pt modelId="{6497AAC8-E741-4E83-8C97-588424C6B3D0}" type="pres">
      <dgm:prSet presAssocID="{4F223946-8C4C-47FE-AEA6-D43A384BEE75}" presName="quadrantPlaceholder" presStyleCnt="0"/>
      <dgm:spPr/>
    </dgm:pt>
    <dgm:pt modelId="{739743F5-1A3B-4F14-83CD-138ED2E9E67A}" type="pres">
      <dgm:prSet presAssocID="{4F223946-8C4C-47FE-AEA6-D43A384BEE75}" presName="center1" presStyleLbl="fgShp" presStyleIdx="0" presStyleCnt="2"/>
      <dgm:spPr/>
    </dgm:pt>
    <dgm:pt modelId="{232E7BD9-E84C-4C83-9F86-7F1D9C705EF2}" type="pres">
      <dgm:prSet presAssocID="{4F223946-8C4C-47FE-AEA6-D43A384BEE75}" presName="center2" presStyleLbl="fgShp" presStyleIdx="1" presStyleCnt="2"/>
      <dgm:spPr/>
    </dgm:pt>
  </dgm:ptLst>
  <dgm:cxnLst>
    <dgm:cxn modelId="{298E8F0D-5E92-40F8-BC2D-51999FA21B29}" type="presOf" srcId="{331478F6-9CC4-4CF5-BD9C-410667C327B4}" destId="{8896DA89-F480-4889-92A8-A8119BBC2767}" srcOrd="0" destOrd="0" presId="urn:microsoft.com/office/officeart/2005/8/layout/cycle4"/>
    <dgm:cxn modelId="{2DFB1725-8C49-466E-BFD8-391849FD9B61}" type="presOf" srcId="{4F223946-8C4C-47FE-AEA6-D43A384BEE75}" destId="{CC0C570A-DE2F-45BD-8E24-A5F4795579C2}" srcOrd="0" destOrd="0" presId="urn:microsoft.com/office/officeart/2005/8/layout/cycle4"/>
    <dgm:cxn modelId="{8C59F734-5FC8-4D5B-AE36-6AAD469BEEE8}" srcId="{4F223946-8C4C-47FE-AEA6-D43A384BEE75}" destId="{E8404DAC-5D50-43FE-91EF-076EE32C8F84}" srcOrd="3" destOrd="0" parTransId="{9785BFFD-2E68-41B2-844D-6B0984AC8869}" sibTransId="{9ED74BE7-F926-4238-8E08-8E9116478CF3}"/>
    <dgm:cxn modelId="{B3D23E37-B7E7-495F-9B8F-64DD7317852D}" type="presOf" srcId="{FCF4DEA2-7D80-47AD-BDC7-523F7A825FC7}" destId="{3365F9AE-F79B-4F3F-BA66-74C7ADDFC369}" srcOrd="0" destOrd="0" presId="urn:microsoft.com/office/officeart/2005/8/layout/cycle4"/>
    <dgm:cxn modelId="{F9EE9D3A-6DDF-4C48-9BD3-520D68C8F5C5}" srcId="{4F223946-8C4C-47FE-AEA6-D43A384BEE75}" destId="{E11B11B9-868A-4C86-ADC3-E888DA9D83A0}" srcOrd="0" destOrd="0" parTransId="{8D1F9192-8AF6-4583-A25F-F9BC233DFB5B}" sibTransId="{B01882AE-32DB-42ED-AC8E-BB799F97D0CC}"/>
    <dgm:cxn modelId="{7A869D3B-0A78-40DE-96CB-9B41D42D92C6}" type="presOf" srcId="{331478F6-9CC4-4CF5-BD9C-410667C327B4}" destId="{EE9E9C58-E3F4-4A94-ADBA-E4E59DDCB646}" srcOrd="1" destOrd="0" presId="urn:microsoft.com/office/officeart/2005/8/layout/cycle4"/>
    <dgm:cxn modelId="{CC5F4C43-FC47-43F1-9BAB-8AB3A6E96F09}" type="presOf" srcId="{E8404DAC-5D50-43FE-91EF-076EE32C8F84}" destId="{99623156-A9B5-421C-B646-CAF668BA375C}" srcOrd="0" destOrd="0" presId="urn:microsoft.com/office/officeart/2005/8/layout/cycle4"/>
    <dgm:cxn modelId="{D1F50882-BC49-482D-9B08-9F278D0F8719}" srcId="{43810523-3091-4E34-9D2B-C8EDF0F429CE}" destId="{FCF4DEA2-7D80-47AD-BDC7-523F7A825FC7}" srcOrd="0" destOrd="0" parTransId="{9F1FFE95-4695-413A-92A6-814AF935D5E4}" sibTransId="{F794E16D-3E4C-4F95-A227-5C7C16460665}"/>
    <dgm:cxn modelId="{1A3AEF87-9552-41F0-BEA9-203CE0E49099}" type="presOf" srcId="{E11B11B9-868A-4C86-ADC3-E888DA9D83A0}" destId="{E39089E6-1304-44F0-8B34-7490DDF6F0B1}" srcOrd="0" destOrd="0" presId="urn:microsoft.com/office/officeart/2005/8/layout/cycle4"/>
    <dgm:cxn modelId="{9C7E9D97-C747-42D8-B12A-39377B021552}" type="presOf" srcId="{1BD52789-D6E8-40C9-A881-A91CF73ED1F4}" destId="{415A16EE-FF9B-4F16-A27C-6E52DE19DE8D}" srcOrd="1" destOrd="0" presId="urn:microsoft.com/office/officeart/2005/8/layout/cycle4"/>
    <dgm:cxn modelId="{2D98749B-A325-4EEE-A6AE-BF2B6EDDC39E}" type="presOf" srcId="{C8564285-6BB2-49C4-8914-8ADD65A903AD}" destId="{E4BA6D6B-5ABE-4CB5-BC26-3B9EF4003DD0}" srcOrd="1" destOrd="0" presId="urn:microsoft.com/office/officeart/2005/8/layout/cycle4"/>
    <dgm:cxn modelId="{8D829D9D-3981-4E6E-81B4-6717125DCF3C}" type="presOf" srcId="{43810523-3091-4E34-9D2B-C8EDF0F429CE}" destId="{51D95CB4-8CF7-4F03-9053-D0E6F6B67A7D}" srcOrd="0" destOrd="0" presId="urn:microsoft.com/office/officeart/2005/8/layout/cycle4"/>
    <dgm:cxn modelId="{705E109E-2832-4193-87BA-A1FD5F6D15BD}" srcId="{E8404DAC-5D50-43FE-91EF-076EE32C8F84}" destId="{C8564285-6BB2-49C4-8914-8ADD65A903AD}" srcOrd="0" destOrd="0" parTransId="{62C53766-7DBF-407C-A7F6-C723269D4CFD}" sibTransId="{A72DFE70-EFA3-41DF-BD71-E1A2BE2BDDE8}"/>
    <dgm:cxn modelId="{E318269E-ADF3-434D-A8E6-AE447CE1C5A9}" type="presOf" srcId="{A3E9F50C-0CCB-4DE7-B39A-BFC7583573F3}" destId="{78439DCB-2A0E-4412-B0FE-A4974E2AB5C7}" srcOrd="0" destOrd="0" presId="urn:microsoft.com/office/officeart/2005/8/layout/cycle4"/>
    <dgm:cxn modelId="{2E7DD9A5-30C0-49FF-92F3-5FE736722F82}" type="presOf" srcId="{1BD52789-D6E8-40C9-A881-A91CF73ED1F4}" destId="{872A1269-6850-4391-99F5-DBADBE363900}" srcOrd="0" destOrd="0" presId="urn:microsoft.com/office/officeart/2005/8/layout/cycle4"/>
    <dgm:cxn modelId="{DFE70EB2-A706-47F7-990B-7EA71730E703}" type="presOf" srcId="{FCF4DEA2-7D80-47AD-BDC7-523F7A825FC7}" destId="{C8B990DC-3F2A-4FA4-B2C5-E470FE643C3D}" srcOrd="1" destOrd="0" presId="urn:microsoft.com/office/officeart/2005/8/layout/cycle4"/>
    <dgm:cxn modelId="{4227D3C3-BC62-4F15-A1F8-F8F4E554C4D7}" srcId="{4F223946-8C4C-47FE-AEA6-D43A384BEE75}" destId="{43810523-3091-4E34-9D2B-C8EDF0F429CE}" srcOrd="1" destOrd="0" parTransId="{62672C03-B215-4A01-A0E9-CA4A47B28C0F}" sibTransId="{DC97317D-E049-46A3-9DEC-2EA81C7C9738}"/>
    <dgm:cxn modelId="{451D44D2-2E4C-4058-A64F-3F56381EBCFB}" srcId="{A3E9F50C-0CCB-4DE7-B39A-BFC7583573F3}" destId="{331478F6-9CC4-4CF5-BD9C-410667C327B4}" srcOrd="0" destOrd="0" parTransId="{FF154CB9-7EC9-410A-8FD3-50FC3060B552}" sibTransId="{0DE0C4A2-F5F4-4D74-B55A-23A64B3F42C4}"/>
    <dgm:cxn modelId="{390862DD-B81C-457E-8ADE-171D829EA61D}" srcId="{4F223946-8C4C-47FE-AEA6-D43A384BEE75}" destId="{A3E9F50C-0CCB-4DE7-B39A-BFC7583573F3}" srcOrd="2" destOrd="0" parTransId="{B61CD793-7247-4692-8DF2-C99E91E98ADA}" sibTransId="{D75F5F68-24BC-4F4F-AEBC-50CDEC339651}"/>
    <dgm:cxn modelId="{A55EDCE6-96C2-4466-B3E3-E788571698C8}" type="presOf" srcId="{C8564285-6BB2-49C4-8914-8ADD65A903AD}" destId="{816160CB-6281-4325-AF9B-62AE767A6F33}" srcOrd="0" destOrd="0" presId="urn:microsoft.com/office/officeart/2005/8/layout/cycle4"/>
    <dgm:cxn modelId="{16FE95EA-1264-4CC3-B8A7-D7755A5BCF17}" srcId="{E11B11B9-868A-4C86-ADC3-E888DA9D83A0}" destId="{1BD52789-D6E8-40C9-A881-A91CF73ED1F4}" srcOrd="0" destOrd="0" parTransId="{37E3BCFC-3660-4756-B9F6-63862716CB22}" sibTransId="{991B3B1C-9159-4F29-9595-70511832C368}"/>
    <dgm:cxn modelId="{E5D05566-D5B7-4E35-A3A8-F7490E837D4D}" type="presParOf" srcId="{CC0C570A-DE2F-45BD-8E24-A5F4795579C2}" destId="{FE63E7CB-2C81-463D-95DE-F702564F5062}" srcOrd="0" destOrd="0" presId="urn:microsoft.com/office/officeart/2005/8/layout/cycle4"/>
    <dgm:cxn modelId="{0C865641-F61C-4C6A-8FC5-DEDA54656AD4}" type="presParOf" srcId="{FE63E7CB-2C81-463D-95DE-F702564F5062}" destId="{6A275A48-F797-401C-AC58-667D16D8927D}" srcOrd="0" destOrd="0" presId="urn:microsoft.com/office/officeart/2005/8/layout/cycle4"/>
    <dgm:cxn modelId="{0D86FFCE-4850-4F8A-9AD3-1D1DE333F148}" type="presParOf" srcId="{6A275A48-F797-401C-AC58-667D16D8927D}" destId="{872A1269-6850-4391-99F5-DBADBE363900}" srcOrd="0" destOrd="0" presId="urn:microsoft.com/office/officeart/2005/8/layout/cycle4"/>
    <dgm:cxn modelId="{A221A016-8B51-4EF8-B491-E0E42D295555}" type="presParOf" srcId="{6A275A48-F797-401C-AC58-667D16D8927D}" destId="{415A16EE-FF9B-4F16-A27C-6E52DE19DE8D}" srcOrd="1" destOrd="0" presId="urn:microsoft.com/office/officeart/2005/8/layout/cycle4"/>
    <dgm:cxn modelId="{A3F4DFBF-831B-47A4-A608-12D3BE18C1F5}" type="presParOf" srcId="{FE63E7CB-2C81-463D-95DE-F702564F5062}" destId="{9A6C6FFC-48E7-46A9-9B73-2E3C0F595C59}" srcOrd="1" destOrd="0" presId="urn:microsoft.com/office/officeart/2005/8/layout/cycle4"/>
    <dgm:cxn modelId="{62090A15-EFE4-4A7F-9BCB-B5949F9CBF76}" type="presParOf" srcId="{9A6C6FFC-48E7-46A9-9B73-2E3C0F595C59}" destId="{3365F9AE-F79B-4F3F-BA66-74C7ADDFC369}" srcOrd="0" destOrd="0" presId="urn:microsoft.com/office/officeart/2005/8/layout/cycle4"/>
    <dgm:cxn modelId="{FE5B2313-EA59-4424-9043-0D400861A8AD}" type="presParOf" srcId="{9A6C6FFC-48E7-46A9-9B73-2E3C0F595C59}" destId="{C8B990DC-3F2A-4FA4-B2C5-E470FE643C3D}" srcOrd="1" destOrd="0" presId="urn:microsoft.com/office/officeart/2005/8/layout/cycle4"/>
    <dgm:cxn modelId="{79D90B6A-1A43-4060-9FB9-D668B5ED2EFF}" type="presParOf" srcId="{FE63E7CB-2C81-463D-95DE-F702564F5062}" destId="{3A6C6E64-6301-4D24-9EEC-CE249B4757BA}" srcOrd="2" destOrd="0" presId="urn:microsoft.com/office/officeart/2005/8/layout/cycle4"/>
    <dgm:cxn modelId="{3130316F-26E0-4A9E-B1E3-4DC703A03557}" type="presParOf" srcId="{3A6C6E64-6301-4D24-9EEC-CE249B4757BA}" destId="{8896DA89-F480-4889-92A8-A8119BBC2767}" srcOrd="0" destOrd="0" presId="urn:microsoft.com/office/officeart/2005/8/layout/cycle4"/>
    <dgm:cxn modelId="{CB87E80C-4359-4285-BB6E-F10C2E8C225A}" type="presParOf" srcId="{3A6C6E64-6301-4D24-9EEC-CE249B4757BA}" destId="{EE9E9C58-E3F4-4A94-ADBA-E4E59DDCB646}" srcOrd="1" destOrd="0" presId="urn:microsoft.com/office/officeart/2005/8/layout/cycle4"/>
    <dgm:cxn modelId="{7D8526B5-DB6F-4104-902F-819A4A08BF05}" type="presParOf" srcId="{FE63E7CB-2C81-463D-95DE-F702564F5062}" destId="{A9F102B1-CA65-4AB2-A12F-EE89970AF638}" srcOrd="3" destOrd="0" presId="urn:microsoft.com/office/officeart/2005/8/layout/cycle4"/>
    <dgm:cxn modelId="{AFEA8C83-507A-4AA1-86FD-9CB2962E02E6}" type="presParOf" srcId="{A9F102B1-CA65-4AB2-A12F-EE89970AF638}" destId="{816160CB-6281-4325-AF9B-62AE767A6F33}" srcOrd="0" destOrd="0" presId="urn:microsoft.com/office/officeart/2005/8/layout/cycle4"/>
    <dgm:cxn modelId="{8720BC3E-4058-45D6-B916-7B0716E567C1}" type="presParOf" srcId="{A9F102B1-CA65-4AB2-A12F-EE89970AF638}" destId="{E4BA6D6B-5ABE-4CB5-BC26-3B9EF4003DD0}" srcOrd="1" destOrd="0" presId="urn:microsoft.com/office/officeart/2005/8/layout/cycle4"/>
    <dgm:cxn modelId="{9C4DE8B6-2E1B-4493-B8F5-298437E7A3B2}" type="presParOf" srcId="{FE63E7CB-2C81-463D-95DE-F702564F5062}" destId="{818E0EEF-D0E3-493A-8B83-56F95BE78116}" srcOrd="4" destOrd="0" presId="urn:microsoft.com/office/officeart/2005/8/layout/cycle4"/>
    <dgm:cxn modelId="{76970554-3D50-4965-81CB-B1998F228D8D}" type="presParOf" srcId="{CC0C570A-DE2F-45BD-8E24-A5F4795579C2}" destId="{2337EAAB-63C5-441D-93CC-2202CAB29F99}" srcOrd="1" destOrd="0" presId="urn:microsoft.com/office/officeart/2005/8/layout/cycle4"/>
    <dgm:cxn modelId="{E3456B50-F7D0-4D2A-BF4F-0C79CDB11C68}" type="presParOf" srcId="{2337EAAB-63C5-441D-93CC-2202CAB29F99}" destId="{E39089E6-1304-44F0-8B34-7490DDF6F0B1}" srcOrd="0" destOrd="0" presId="urn:microsoft.com/office/officeart/2005/8/layout/cycle4"/>
    <dgm:cxn modelId="{36783251-011E-48E9-80B0-3CD3C171BF73}" type="presParOf" srcId="{2337EAAB-63C5-441D-93CC-2202CAB29F99}" destId="{51D95CB4-8CF7-4F03-9053-D0E6F6B67A7D}" srcOrd="1" destOrd="0" presId="urn:microsoft.com/office/officeart/2005/8/layout/cycle4"/>
    <dgm:cxn modelId="{127D04F6-F0E2-48DE-9E7C-47348E46CE15}" type="presParOf" srcId="{2337EAAB-63C5-441D-93CC-2202CAB29F99}" destId="{78439DCB-2A0E-4412-B0FE-A4974E2AB5C7}" srcOrd="2" destOrd="0" presId="urn:microsoft.com/office/officeart/2005/8/layout/cycle4"/>
    <dgm:cxn modelId="{669606B4-C2F9-4A5D-A251-0AD4D1767048}" type="presParOf" srcId="{2337EAAB-63C5-441D-93CC-2202CAB29F99}" destId="{99623156-A9B5-421C-B646-CAF668BA375C}" srcOrd="3" destOrd="0" presId="urn:microsoft.com/office/officeart/2005/8/layout/cycle4"/>
    <dgm:cxn modelId="{17D62209-830F-4743-9281-B3096E5782C5}" type="presParOf" srcId="{2337EAAB-63C5-441D-93CC-2202CAB29F99}" destId="{6497AAC8-E741-4E83-8C97-588424C6B3D0}" srcOrd="4" destOrd="0" presId="urn:microsoft.com/office/officeart/2005/8/layout/cycle4"/>
    <dgm:cxn modelId="{5EB44AB7-2E6C-4820-B2BB-4CEA7B099F65}" type="presParOf" srcId="{CC0C570A-DE2F-45BD-8E24-A5F4795579C2}" destId="{739743F5-1A3B-4F14-83CD-138ED2E9E67A}" srcOrd="2" destOrd="0" presId="urn:microsoft.com/office/officeart/2005/8/layout/cycle4"/>
    <dgm:cxn modelId="{F0B9437B-6E3A-4322-A7B9-093B404F0982}" type="presParOf" srcId="{CC0C570A-DE2F-45BD-8E24-A5F4795579C2}" destId="{232E7BD9-E84C-4C83-9F86-7F1D9C705EF2}" srcOrd="3" destOrd="0" presId="urn:microsoft.com/office/officeart/2005/8/layout/cycle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4F223946-8C4C-47FE-AEA6-D43A384BEE75}" type="doc">
      <dgm:prSet loTypeId="urn:microsoft.com/office/officeart/2005/8/layout/cycle4" loCatId="matrix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pt-BR"/>
        </a:p>
      </dgm:t>
    </dgm:pt>
    <dgm:pt modelId="{E11B11B9-868A-4C86-ADC3-E888DA9D83A0}">
      <dgm:prSet phldrT="[Texto]"/>
      <dgm:spPr/>
      <dgm:t>
        <a:bodyPr/>
        <a:lstStyle/>
        <a:p>
          <a:r>
            <a:rPr lang="pt-BR"/>
            <a:t>Nível Disponibilidades</a:t>
          </a:r>
        </a:p>
      </dgm:t>
    </dgm:pt>
    <dgm:pt modelId="{8D1F9192-8AF6-4583-A25F-F9BC233DFB5B}" type="parTrans" cxnId="{F9EE9D3A-6DDF-4C48-9BD3-520D68C8F5C5}">
      <dgm:prSet/>
      <dgm:spPr/>
      <dgm:t>
        <a:bodyPr/>
        <a:lstStyle/>
        <a:p>
          <a:endParaRPr lang="pt-BR"/>
        </a:p>
      </dgm:t>
    </dgm:pt>
    <dgm:pt modelId="{B01882AE-32DB-42ED-AC8E-BB799F97D0CC}" type="sibTrans" cxnId="{F9EE9D3A-6DDF-4C48-9BD3-520D68C8F5C5}">
      <dgm:prSet/>
      <dgm:spPr/>
      <dgm:t>
        <a:bodyPr/>
        <a:lstStyle/>
        <a:p>
          <a:endParaRPr lang="pt-BR"/>
        </a:p>
      </dgm:t>
    </dgm:pt>
    <dgm:pt modelId="{1BD52789-D6E8-40C9-A881-A91CF73ED1F4}">
      <dgm:prSet phldrT="[Texto]" custT="1"/>
      <dgm:spPr/>
      <dgm:t>
        <a:bodyPr/>
        <a:lstStyle/>
        <a:p>
          <a:r>
            <a:rPr lang="pt-BR" sz="1100"/>
            <a:t>Este é o número de referência para comparação do que poderia ser obtido em aplicações financeiras, no caso de estratégia de construção de riqueza via Aluguel* </a:t>
          </a:r>
        </a:p>
      </dgm:t>
    </dgm:pt>
    <dgm:pt modelId="{37E3BCFC-3660-4756-B9F6-63862716CB22}" type="parTrans" cxnId="{16FE95EA-1264-4CC3-B8A7-D7755A5BCF17}">
      <dgm:prSet/>
      <dgm:spPr/>
      <dgm:t>
        <a:bodyPr/>
        <a:lstStyle/>
        <a:p>
          <a:endParaRPr lang="pt-BR"/>
        </a:p>
      </dgm:t>
    </dgm:pt>
    <dgm:pt modelId="{991B3B1C-9159-4F29-9595-70511832C368}" type="sibTrans" cxnId="{16FE95EA-1264-4CC3-B8A7-D7755A5BCF17}">
      <dgm:prSet/>
      <dgm:spPr/>
      <dgm:t>
        <a:bodyPr/>
        <a:lstStyle/>
        <a:p>
          <a:endParaRPr lang="pt-BR"/>
        </a:p>
      </dgm:t>
    </dgm:pt>
    <dgm:pt modelId="{43810523-3091-4E34-9D2B-C8EDF0F429CE}">
      <dgm:prSet phldrT="[Texto]"/>
      <dgm:spPr/>
      <dgm:t>
        <a:bodyPr/>
        <a:lstStyle/>
        <a:p>
          <a:r>
            <a:rPr lang="pt-BR"/>
            <a:t>Custo de Oportunidade</a:t>
          </a:r>
        </a:p>
      </dgm:t>
    </dgm:pt>
    <dgm:pt modelId="{62672C03-B215-4A01-A0E9-CA4A47B28C0F}" type="parTrans" cxnId="{4227D3C3-BC62-4F15-A1F8-F8F4E554C4D7}">
      <dgm:prSet/>
      <dgm:spPr/>
      <dgm:t>
        <a:bodyPr/>
        <a:lstStyle/>
        <a:p>
          <a:endParaRPr lang="pt-BR"/>
        </a:p>
      </dgm:t>
    </dgm:pt>
    <dgm:pt modelId="{DC97317D-E049-46A3-9DEC-2EA81C7C9738}" type="sibTrans" cxnId="{4227D3C3-BC62-4F15-A1F8-F8F4E554C4D7}">
      <dgm:prSet/>
      <dgm:spPr/>
      <dgm:t>
        <a:bodyPr/>
        <a:lstStyle/>
        <a:p>
          <a:endParaRPr lang="pt-BR"/>
        </a:p>
      </dgm:t>
    </dgm:pt>
    <dgm:pt modelId="{FCF4DEA2-7D80-47AD-BDC7-523F7A825FC7}">
      <dgm:prSet phldrT="[Texto]" custT="1"/>
      <dgm:spPr/>
      <dgm:t>
        <a:bodyPr/>
        <a:lstStyle/>
        <a:p>
          <a:r>
            <a:rPr lang="pt-BR" sz="1100"/>
            <a:t>Qual retorno real médio que VOCÊ consegue obter dos seus investimentos?</a:t>
          </a:r>
          <a:br>
            <a:rPr lang="pt-BR" sz="1100"/>
          </a:br>
          <a:r>
            <a:rPr lang="pt-BR" sz="1100"/>
            <a:t>Este número será determinante na escolha da estratégia mais lucrativa.</a:t>
          </a:r>
        </a:p>
      </dgm:t>
    </dgm:pt>
    <dgm:pt modelId="{9F1FFE95-4695-413A-92A6-814AF935D5E4}" type="parTrans" cxnId="{D1F50882-BC49-482D-9B08-9F278D0F8719}">
      <dgm:prSet/>
      <dgm:spPr/>
      <dgm:t>
        <a:bodyPr/>
        <a:lstStyle/>
        <a:p>
          <a:endParaRPr lang="pt-BR"/>
        </a:p>
      </dgm:t>
    </dgm:pt>
    <dgm:pt modelId="{F794E16D-3E4C-4F95-A227-5C7C16460665}" type="sibTrans" cxnId="{D1F50882-BC49-482D-9B08-9F278D0F8719}">
      <dgm:prSet/>
      <dgm:spPr/>
      <dgm:t>
        <a:bodyPr/>
        <a:lstStyle/>
        <a:p>
          <a:endParaRPr lang="pt-BR"/>
        </a:p>
      </dgm:t>
    </dgm:pt>
    <dgm:pt modelId="{A3E9F50C-0CCB-4DE7-B39A-BFC7583573F3}">
      <dgm:prSet phldrT="[Texto]"/>
      <dgm:spPr/>
      <dgm:t>
        <a:bodyPr/>
        <a:lstStyle/>
        <a:p>
          <a:r>
            <a:rPr lang="pt-BR"/>
            <a:t>Diversificação</a:t>
          </a:r>
        </a:p>
      </dgm:t>
    </dgm:pt>
    <dgm:pt modelId="{B61CD793-7247-4692-8DF2-C99E91E98ADA}" type="parTrans" cxnId="{390862DD-B81C-457E-8ADE-171D829EA61D}">
      <dgm:prSet/>
      <dgm:spPr/>
      <dgm:t>
        <a:bodyPr/>
        <a:lstStyle/>
        <a:p>
          <a:endParaRPr lang="pt-BR"/>
        </a:p>
      </dgm:t>
    </dgm:pt>
    <dgm:pt modelId="{D75F5F68-24BC-4F4F-AEBC-50CDEC339651}" type="sibTrans" cxnId="{390862DD-B81C-457E-8ADE-171D829EA61D}">
      <dgm:prSet/>
      <dgm:spPr/>
      <dgm:t>
        <a:bodyPr/>
        <a:lstStyle/>
        <a:p>
          <a:endParaRPr lang="pt-BR"/>
        </a:p>
      </dgm:t>
    </dgm:pt>
    <dgm:pt modelId="{331478F6-9CC4-4CF5-BD9C-410667C327B4}">
      <dgm:prSet phldrT="[Texto]" custT="1"/>
      <dgm:spPr/>
      <dgm:t>
        <a:bodyPr/>
        <a:lstStyle/>
        <a:p>
          <a:r>
            <a:rPr lang="pt-BR" sz="1100"/>
            <a:t>    Quando a Decisão de Comprar representa alto nível de concentração do Patrimônio Familiar, faz sentido analisar com carinho a estratégia do Aluguel</a:t>
          </a:r>
        </a:p>
      </dgm:t>
    </dgm:pt>
    <dgm:pt modelId="{FF154CB9-7EC9-410A-8FD3-50FC3060B552}" type="parTrans" cxnId="{451D44D2-2E4C-4058-A64F-3F56381EBCFB}">
      <dgm:prSet/>
      <dgm:spPr/>
      <dgm:t>
        <a:bodyPr/>
        <a:lstStyle/>
        <a:p>
          <a:endParaRPr lang="pt-BR"/>
        </a:p>
      </dgm:t>
    </dgm:pt>
    <dgm:pt modelId="{0DE0C4A2-F5F4-4D74-B55A-23A64B3F42C4}" type="sibTrans" cxnId="{451D44D2-2E4C-4058-A64F-3F56381EBCFB}">
      <dgm:prSet/>
      <dgm:spPr/>
      <dgm:t>
        <a:bodyPr/>
        <a:lstStyle/>
        <a:p>
          <a:endParaRPr lang="pt-BR"/>
        </a:p>
      </dgm:t>
    </dgm:pt>
    <dgm:pt modelId="{E8404DAC-5D50-43FE-91EF-076EE32C8F84}">
      <dgm:prSet phldrT="[Texto]"/>
      <dgm:spPr/>
      <dgm:t>
        <a:bodyPr/>
        <a:lstStyle/>
        <a:p>
          <a:r>
            <a:rPr lang="pt-BR"/>
            <a:t>Acesso a Crédito</a:t>
          </a:r>
        </a:p>
      </dgm:t>
    </dgm:pt>
    <dgm:pt modelId="{9785BFFD-2E68-41B2-844D-6B0984AC8869}" type="parTrans" cxnId="{8C59F734-5FC8-4D5B-AE36-6AAD469BEEE8}">
      <dgm:prSet/>
      <dgm:spPr/>
      <dgm:t>
        <a:bodyPr/>
        <a:lstStyle/>
        <a:p>
          <a:endParaRPr lang="pt-BR"/>
        </a:p>
      </dgm:t>
    </dgm:pt>
    <dgm:pt modelId="{9ED74BE7-F926-4238-8E08-8E9116478CF3}" type="sibTrans" cxnId="{8C59F734-5FC8-4D5B-AE36-6AAD469BEEE8}">
      <dgm:prSet/>
      <dgm:spPr/>
      <dgm:t>
        <a:bodyPr/>
        <a:lstStyle/>
        <a:p>
          <a:endParaRPr lang="pt-BR"/>
        </a:p>
      </dgm:t>
    </dgm:pt>
    <dgm:pt modelId="{C8564285-6BB2-49C4-8914-8ADD65A903AD}">
      <dgm:prSet phldrT="[Texto]" custT="1"/>
      <dgm:spPr/>
      <dgm:t>
        <a:bodyPr/>
        <a:lstStyle/>
        <a:p>
          <a:r>
            <a:rPr lang="pt-BR" sz="1100"/>
            <a:t>Não dispor de acesso a crédito, naturalmente, impossibilita a Decisão pela Compra, quando não existe capacidade de aquisição à vista*</a:t>
          </a:r>
        </a:p>
      </dgm:t>
    </dgm:pt>
    <dgm:pt modelId="{62C53766-7DBF-407C-A7F6-C723269D4CFD}" type="parTrans" cxnId="{705E109E-2832-4193-87BA-A1FD5F6D15BD}">
      <dgm:prSet/>
      <dgm:spPr/>
      <dgm:t>
        <a:bodyPr/>
        <a:lstStyle/>
        <a:p>
          <a:endParaRPr lang="pt-BR"/>
        </a:p>
      </dgm:t>
    </dgm:pt>
    <dgm:pt modelId="{A72DFE70-EFA3-41DF-BD71-E1A2BE2BDDE8}" type="sibTrans" cxnId="{705E109E-2832-4193-87BA-A1FD5F6D15BD}">
      <dgm:prSet/>
      <dgm:spPr/>
      <dgm:t>
        <a:bodyPr/>
        <a:lstStyle/>
        <a:p>
          <a:endParaRPr lang="pt-BR"/>
        </a:p>
      </dgm:t>
    </dgm:pt>
    <dgm:pt modelId="{CC0C570A-DE2F-45BD-8E24-A5F4795579C2}" type="pres">
      <dgm:prSet presAssocID="{4F223946-8C4C-47FE-AEA6-D43A384BEE75}" presName="cycleMatrixDiagram" presStyleCnt="0">
        <dgm:presLayoutVars>
          <dgm:chMax val="1"/>
          <dgm:dir/>
          <dgm:animLvl val="lvl"/>
          <dgm:resizeHandles val="exact"/>
        </dgm:presLayoutVars>
      </dgm:prSet>
      <dgm:spPr/>
    </dgm:pt>
    <dgm:pt modelId="{FE63E7CB-2C81-463D-95DE-F702564F5062}" type="pres">
      <dgm:prSet presAssocID="{4F223946-8C4C-47FE-AEA6-D43A384BEE75}" presName="children" presStyleCnt="0"/>
      <dgm:spPr/>
    </dgm:pt>
    <dgm:pt modelId="{6A275A48-F797-401C-AC58-667D16D8927D}" type="pres">
      <dgm:prSet presAssocID="{4F223946-8C4C-47FE-AEA6-D43A384BEE75}" presName="child1group" presStyleCnt="0"/>
      <dgm:spPr/>
    </dgm:pt>
    <dgm:pt modelId="{872A1269-6850-4391-99F5-DBADBE363900}" type="pres">
      <dgm:prSet presAssocID="{4F223946-8C4C-47FE-AEA6-D43A384BEE75}" presName="child1" presStyleLbl="bgAcc1" presStyleIdx="0" presStyleCnt="4"/>
      <dgm:spPr/>
    </dgm:pt>
    <dgm:pt modelId="{415A16EE-FF9B-4F16-A27C-6E52DE19DE8D}" type="pres">
      <dgm:prSet presAssocID="{4F223946-8C4C-47FE-AEA6-D43A384BEE75}" presName="child1Text" presStyleLbl="bgAcc1" presStyleIdx="0" presStyleCnt="4">
        <dgm:presLayoutVars>
          <dgm:bulletEnabled val="1"/>
        </dgm:presLayoutVars>
      </dgm:prSet>
      <dgm:spPr/>
    </dgm:pt>
    <dgm:pt modelId="{9A6C6FFC-48E7-46A9-9B73-2E3C0F595C59}" type="pres">
      <dgm:prSet presAssocID="{4F223946-8C4C-47FE-AEA6-D43A384BEE75}" presName="child2group" presStyleCnt="0"/>
      <dgm:spPr/>
    </dgm:pt>
    <dgm:pt modelId="{3365F9AE-F79B-4F3F-BA66-74C7ADDFC369}" type="pres">
      <dgm:prSet presAssocID="{4F223946-8C4C-47FE-AEA6-D43A384BEE75}" presName="child2" presStyleLbl="bgAcc1" presStyleIdx="1" presStyleCnt="4"/>
      <dgm:spPr/>
    </dgm:pt>
    <dgm:pt modelId="{C8B990DC-3F2A-4FA4-B2C5-E470FE643C3D}" type="pres">
      <dgm:prSet presAssocID="{4F223946-8C4C-47FE-AEA6-D43A384BEE75}" presName="child2Text" presStyleLbl="bgAcc1" presStyleIdx="1" presStyleCnt="4">
        <dgm:presLayoutVars>
          <dgm:bulletEnabled val="1"/>
        </dgm:presLayoutVars>
      </dgm:prSet>
      <dgm:spPr/>
    </dgm:pt>
    <dgm:pt modelId="{3A6C6E64-6301-4D24-9EEC-CE249B4757BA}" type="pres">
      <dgm:prSet presAssocID="{4F223946-8C4C-47FE-AEA6-D43A384BEE75}" presName="child3group" presStyleCnt="0"/>
      <dgm:spPr/>
    </dgm:pt>
    <dgm:pt modelId="{8896DA89-F480-4889-92A8-A8119BBC2767}" type="pres">
      <dgm:prSet presAssocID="{4F223946-8C4C-47FE-AEA6-D43A384BEE75}" presName="child3" presStyleLbl="bgAcc1" presStyleIdx="2" presStyleCnt="4"/>
      <dgm:spPr/>
    </dgm:pt>
    <dgm:pt modelId="{EE9E9C58-E3F4-4A94-ADBA-E4E59DDCB646}" type="pres">
      <dgm:prSet presAssocID="{4F223946-8C4C-47FE-AEA6-D43A384BEE75}" presName="child3Text" presStyleLbl="bgAcc1" presStyleIdx="2" presStyleCnt="4">
        <dgm:presLayoutVars>
          <dgm:bulletEnabled val="1"/>
        </dgm:presLayoutVars>
      </dgm:prSet>
      <dgm:spPr/>
    </dgm:pt>
    <dgm:pt modelId="{A9F102B1-CA65-4AB2-A12F-EE89970AF638}" type="pres">
      <dgm:prSet presAssocID="{4F223946-8C4C-47FE-AEA6-D43A384BEE75}" presName="child4group" presStyleCnt="0"/>
      <dgm:spPr/>
    </dgm:pt>
    <dgm:pt modelId="{816160CB-6281-4325-AF9B-62AE767A6F33}" type="pres">
      <dgm:prSet presAssocID="{4F223946-8C4C-47FE-AEA6-D43A384BEE75}" presName="child4" presStyleLbl="bgAcc1" presStyleIdx="3" presStyleCnt="4"/>
      <dgm:spPr/>
    </dgm:pt>
    <dgm:pt modelId="{E4BA6D6B-5ABE-4CB5-BC26-3B9EF4003DD0}" type="pres">
      <dgm:prSet presAssocID="{4F223946-8C4C-47FE-AEA6-D43A384BEE75}" presName="child4Text" presStyleLbl="bgAcc1" presStyleIdx="3" presStyleCnt="4">
        <dgm:presLayoutVars>
          <dgm:bulletEnabled val="1"/>
        </dgm:presLayoutVars>
      </dgm:prSet>
      <dgm:spPr/>
    </dgm:pt>
    <dgm:pt modelId="{818E0EEF-D0E3-493A-8B83-56F95BE78116}" type="pres">
      <dgm:prSet presAssocID="{4F223946-8C4C-47FE-AEA6-D43A384BEE75}" presName="childPlaceholder" presStyleCnt="0"/>
      <dgm:spPr/>
    </dgm:pt>
    <dgm:pt modelId="{2337EAAB-63C5-441D-93CC-2202CAB29F99}" type="pres">
      <dgm:prSet presAssocID="{4F223946-8C4C-47FE-AEA6-D43A384BEE75}" presName="circle" presStyleCnt="0"/>
      <dgm:spPr/>
    </dgm:pt>
    <dgm:pt modelId="{E39089E6-1304-44F0-8B34-7490DDF6F0B1}" type="pres">
      <dgm:prSet presAssocID="{4F223946-8C4C-47FE-AEA6-D43A384BEE75}" presName="quadrant1" presStyleLbl="node1" presStyleIdx="0" presStyleCnt="4">
        <dgm:presLayoutVars>
          <dgm:chMax val="1"/>
          <dgm:bulletEnabled val="1"/>
        </dgm:presLayoutVars>
      </dgm:prSet>
      <dgm:spPr/>
    </dgm:pt>
    <dgm:pt modelId="{51D95CB4-8CF7-4F03-9053-D0E6F6B67A7D}" type="pres">
      <dgm:prSet presAssocID="{4F223946-8C4C-47FE-AEA6-D43A384BEE75}" presName="quadrant2" presStyleLbl="node1" presStyleIdx="1" presStyleCnt="4">
        <dgm:presLayoutVars>
          <dgm:chMax val="1"/>
          <dgm:bulletEnabled val="1"/>
        </dgm:presLayoutVars>
      </dgm:prSet>
      <dgm:spPr/>
    </dgm:pt>
    <dgm:pt modelId="{78439DCB-2A0E-4412-B0FE-A4974E2AB5C7}" type="pres">
      <dgm:prSet presAssocID="{4F223946-8C4C-47FE-AEA6-D43A384BEE75}" presName="quadrant3" presStyleLbl="node1" presStyleIdx="2" presStyleCnt="4">
        <dgm:presLayoutVars>
          <dgm:chMax val="1"/>
          <dgm:bulletEnabled val="1"/>
        </dgm:presLayoutVars>
      </dgm:prSet>
      <dgm:spPr/>
    </dgm:pt>
    <dgm:pt modelId="{99623156-A9B5-421C-B646-CAF668BA375C}" type="pres">
      <dgm:prSet presAssocID="{4F223946-8C4C-47FE-AEA6-D43A384BEE75}" presName="quadrant4" presStyleLbl="node1" presStyleIdx="3" presStyleCnt="4">
        <dgm:presLayoutVars>
          <dgm:chMax val="1"/>
          <dgm:bulletEnabled val="1"/>
        </dgm:presLayoutVars>
      </dgm:prSet>
      <dgm:spPr/>
    </dgm:pt>
    <dgm:pt modelId="{6497AAC8-E741-4E83-8C97-588424C6B3D0}" type="pres">
      <dgm:prSet presAssocID="{4F223946-8C4C-47FE-AEA6-D43A384BEE75}" presName="quadrantPlaceholder" presStyleCnt="0"/>
      <dgm:spPr/>
    </dgm:pt>
    <dgm:pt modelId="{739743F5-1A3B-4F14-83CD-138ED2E9E67A}" type="pres">
      <dgm:prSet presAssocID="{4F223946-8C4C-47FE-AEA6-D43A384BEE75}" presName="center1" presStyleLbl="fgShp" presStyleIdx="0" presStyleCnt="2"/>
      <dgm:spPr/>
    </dgm:pt>
    <dgm:pt modelId="{232E7BD9-E84C-4C83-9F86-7F1D9C705EF2}" type="pres">
      <dgm:prSet presAssocID="{4F223946-8C4C-47FE-AEA6-D43A384BEE75}" presName="center2" presStyleLbl="fgShp" presStyleIdx="1" presStyleCnt="2"/>
      <dgm:spPr/>
    </dgm:pt>
  </dgm:ptLst>
  <dgm:cxnLst>
    <dgm:cxn modelId="{A45DD001-BD91-447E-8BCB-0DB9B8CC47E3}" type="presOf" srcId="{FCF4DEA2-7D80-47AD-BDC7-523F7A825FC7}" destId="{C8B990DC-3F2A-4FA4-B2C5-E470FE643C3D}" srcOrd="1" destOrd="0" presId="urn:microsoft.com/office/officeart/2005/8/layout/cycle4"/>
    <dgm:cxn modelId="{E8343C1D-1514-4BF8-B3B7-C48889530981}" type="presOf" srcId="{FCF4DEA2-7D80-47AD-BDC7-523F7A825FC7}" destId="{3365F9AE-F79B-4F3F-BA66-74C7ADDFC369}" srcOrd="0" destOrd="0" presId="urn:microsoft.com/office/officeart/2005/8/layout/cycle4"/>
    <dgm:cxn modelId="{8C59F734-5FC8-4D5B-AE36-6AAD469BEEE8}" srcId="{4F223946-8C4C-47FE-AEA6-D43A384BEE75}" destId="{E8404DAC-5D50-43FE-91EF-076EE32C8F84}" srcOrd="3" destOrd="0" parTransId="{9785BFFD-2E68-41B2-844D-6B0984AC8869}" sibTransId="{9ED74BE7-F926-4238-8E08-8E9116478CF3}"/>
    <dgm:cxn modelId="{F9EE9D3A-6DDF-4C48-9BD3-520D68C8F5C5}" srcId="{4F223946-8C4C-47FE-AEA6-D43A384BEE75}" destId="{E11B11B9-868A-4C86-ADC3-E888DA9D83A0}" srcOrd="0" destOrd="0" parTransId="{8D1F9192-8AF6-4583-A25F-F9BC233DFB5B}" sibTransId="{B01882AE-32DB-42ED-AC8E-BB799F97D0CC}"/>
    <dgm:cxn modelId="{39631A6E-5945-4EE3-9844-B84471AEE8B6}" type="presOf" srcId="{43810523-3091-4E34-9D2B-C8EDF0F429CE}" destId="{51D95CB4-8CF7-4F03-9053-D0E6F6B67A7D}" srcOrd="0" destOrd="0" presId="urn:microsoft.com/office/officeart/2005/8/layout/cycle4"/>
    <dgm:cxn modelId="{67ACA650-C9FC-41B6-842D-6F33AB631EE6}" type="presOf" srcId="{1BD52789-D6E8-40C9-A881-A91CF73ED1F4}" destId="{872A1269-6850-4391-99F5-DBADBE363900}" srcOrd="0" destOrd="0" presId="urn:microsoft.com/office/officeart/2005/8/layout/cycle4"/>
    <dgm:cxn modelId="{F3E9A076-C07A-4920-9C3D-C1823F9A4BBA}" type="presOf" srcId="{C8564285-6BB2-49C4-8914-8ADD65A903AD}" destId="{E4BA6D6B-5ABE-4CB5-BC26-3B9EF4003DD0}" srcOrd="1" destOrd="0" presId="urn:microsoft.com/office/officeart/2005/8/layout/cycle4"/>
    <dgm:cxn modelId="{61B6107C-666E-4D30-AF2E-A4BBA314A955}" type="presOf" srcId="{E11B11B9-868A-4C86-ADC3-E888DA9D83A0}" destId="{E39089E6-1304-44F0-8B34-7490DDF6F0B1}" srcOrd="0" destOrd="0" presId="urn:microsoft.com/office/officeart/2005/8/layout/cycle4"/>
    <dgm:cxn modelId="{3B3DE881-5BF5-4ACE-B64A-E5A4FA6F0ACC}" type="presOf" srcId="{331478F6-9CC4-4CF5-BD9C-410667C327B4}" destId="{8896DA89-F480-4889-92A8-A8119BBC2767}" srcOrd="0" destOrd="0" presId="urn:microsoft.com/office/officeart/2005/8/layout/cycle4"/>
    <dgm:cxn modelId="{D1F50882-BC49-482D-9B08-9F278D0F8719}" srcId="{43810523-3091-4E34-9D2B-C8EDF0F429CE}" destId="{FCF4DEA2-7D80-47AD-BDC7-523F7A825FC7}" srcOrd="0" destOrd="0" parTransId="{9F1FFE95-4695-413A-92A6-814AF935D5E4}" sibTransId="{F794E16D-3E4C-4F95-A227-5C7C16460665}"/>
    <dgm:cxn modelId="{64AD628A-0887-41BF-A874-9EA724973188}" type="presOf" srcId="{1BD52789-D6E8-40C9-A881-A91CF73ED1F4}" destId="{415A16EE-FF9B-4F16-A27C-6E52DE19DE8D}" srcOrd="1" destOrd="0" presId="urn:microsoft.com/office/officeart/2005/8/layout/cycle4"/>
    <dgm:cxn modelId="{43943A97-0D54-4F0C-9D41-E44DA7A4B4E2}" type="presOf" srcId="{E8404DAC-5D50-43FE-91EF-076EE32C8F84}" destId="{99623156-A9B5-421C-B646-CAF668BA375C}" srcOrd="0" destOrd="0" presId="urn:microsoft.com/office/officeart/2005/8/layout/cycle4"/>
    <dgm:cxn modelId="{705E109E-2832-4193-87BA-A1FD5F6D15BD}" srcId="{E8404DAC-5D50-43FE-91EF-076EE32C8F84}" destId="{C8564285-6BB2-49C4-8914-8ADD65A903AD}" srcOrd="0" destOrd="0" parTransId="{62C53766-7DBF-407C-A7F6-C723269D4CFD}" sibTransId="{A72DFE70-EFA3-41DF-BD71-E1A2BE2BDDE8}"/>
    <dgm:cxn modelId="{EF80AEB3-879B-4A20-88AA-39716614F17D}" type="presOf" srcId="{A3E9F50C-0CCB-4DE7-B39A-BFC7583573F3}" destId="{78439DCB-2A0E-4412-B0FE-A4974E2AB5C7}" srcOrd="0" destOrd="0" presId="urn:microsoft.com/office/officeart/2005/8/layout/cycle4"/>
    <dgm:cxn modelId="{732B2EB9-61FC-455A-A082-CF5E9CD87FB0}" type="presOf" srcId="{4F223946-8C4C-47FE-AEA6-D43A384BEE75}" destId="{CC0C570A-DE2F-45BD-8E24-A5F4795579C2}" srcOrd="0" destOrd="0" presId="urn:microsoft.com/office/officeart/2005/8/layout/cycle4"/>
    <dgm:cxn modelId="{4227D3C3-BC62-4F15-A1F8-F8F4E554C4D7}" srcId="{4F223946-8C4C-47FE-AEA6-D43A384BEE75}" destId="{43810523-3091-4E34-9D2B-C8EDF0F429CE}" srcOrd="1" destOrd="0" parTransId="{62672C03-B215-4A01-A0E9-CA4A47B28C0F}" sibTransId="{DC97317D-E049-46A3-9DEC-2EA81C7C9738}"/>
    <dgm:cxn modelId="{451D44D2-2E4C-4058-A64F-3F56381EBCFB}" srcId="{A3E9F50C-0CCB-4DE7-B39A-BFC7583573F3}" destId="{331478F6-9CC4-4CF5-BD9C-410667C327B4}" srcOrd="0" destOrd="0" parTransId="{FF154CB9-7EC9-410A-8FD3-50FC3060B552}" sibTransId="{0DE0C4A2-F5F4-4D74-B55A-23A64B3F42C4}"/>
    <dgm:cxn modelId="{390862DD-B81C-457E-8ADE-171D829EA61D}" srcId="{4F223946-8C4C-47FE-AEA6-D43A384BEE75}" destId="{A3E9F50C-0CCB-4DE7-B39A-BFC7583573F3}" srcOrd="2" destOrd="0" parTransId="{B61CD793-7247-4692-8DF2-C99E91E98ADA}" sibTransId="{D75F5F68-24BC-4F4F-AEBC-50CDEC339651}"/>
    <dgm:cxn modelId="{16FE95EA-1264-4CC3-B8A7-D7755A5BCF17}" srcId="{E11B11B9-868A-4C86-ADC3-E888DA9D83A0}" destId="{1BD52789-D6E8-40C9-A881-A91CF73ED1F4}" srcOrd="0" destOrd="0" parTransId="{37E3BCFC-3660-4756-B9F6-63862716CB22}" sibTransId="{991B3B1C-9159-4F29-9595-70511832C368}"/>
    <dgm:cxn modelId="{685BABFD-72AF-45E1-A5A6-5A2AE5C20EDD}" type="presOf" srcId="{331478F6-9CC4-4CF5-BD9C-410667C327B4}" destId="{EE9E9C58-E3F4-4A94-ADBA-E4E59DDCB646}" srcOrd="1" destOrd="0" presId="urn:microsoft.com/office/officeart/2005/8/layout/cycle4"/>
    <dgm:cxn modelId="{0D68DAFF-B17C-41DB-9F70-972001A516B7}" type="presOf" srcId="{C8564285-6BB2-49C4-8914-8ADD65A903AD}" destId="{816160CB-6281-4325-AF9B-62AE767A6F33}" srcOrd="0" destOrd="0" presId="urn:microsoft.com/office/officeart/2005/8/layout/cycle4"/>
    <dgm:cxn modelId="{A7012BA2-B590-4A37-9F62-7A08C7666CC7}" type="presParOf" srcId="{CC0C570A-DE2F-45BD-8E24-A5F4795579C2}" destId="{FE63E7CB-2C81-463D-95DE-F702564F5062}" srcOrd="0" destOrd="0" presId="urn:microsoft.com/office/officeart/2005/8/layout/cycle4"/>
    <dgm:cxn modelId="{688E00E5-3E68-4EB0-A56E-7E9927229425}" type="presParOf" srcId="{FE63E7CB-2C81-463D-95DE-F702564F5062}" destId="{6A275A48-F797-401C-AC58-667D16D8927D}" srcOrd="0" destOrd="0" presId="urn:microsoft.com/office/officeart/2005/8/layout/cycle4"/>
    <dgm:cxn modelId="{487AE1D3-DD63-409A-9C9C-703BBCA06169}" type="presParOf" srcId="{6A275A48-F797-401C-AC58-667D16D8927D}" destId="{872A1269-6850-4391-99F5-DBADBE363900}" srcOrd="0" destOrd="0" presId="urn:microsoft.com/office/officeart/2005/8/layout/cycle4"/>
    <dgm:cxn modelId="{A53E2E12-B31B-495F-B43C-AD357002AE38}" type="presParOf" srcId="{6A275A48-F797-401C-AC58-667D16D8927D}" destId="{415A16EE-FF9B-4F16-A27C-6E52DE19DE8D}" srcOrd="1" destOrd="0" presId="urn:microsoft.com/office/officeart/2005/8/layout/cycle4"/>
    <dgm:cxn modelId="{EECBBBFC-AE2C-411E-AAF2-215F6AAA1796}" type="presParOf" srcId="{FE63E7CB-2C81-463D-95DE-F702564F5062}" destId="{9A6C6FFC-48E7-46A9-9B73-2E3C0F595C59}" srcOrd="1" destOrd="0" presId="urn:microsoft.com/office/officeart/2005/8/layout/cycle4"/>
    <dgm:cxn modelId="{3E0EFB1E-8B35-441C-941A-4458D2FE400C}" type="presParOf" srcId="{9A6C6FFC-48E7-46A9-9B73-2E3C0F595C59}" destId="{3365F9AE-F79B-4F3F-BA66-74C7ADDFC369}" srcOrd="0" destOrd="0" presId="urn:microsoft.com/office/officeart/2005/8/layout/cycle4"/>
    <dgm:cxn modelId="{31B0DCD6-6C9C-4F6E-818F-3A6B7A8C36B3}" type="presParOf" srcId="{9A6C6FFC-48E7-46A9-9B73-2E3C0F595C59}" destId="{C8B990DC-3F2A-4FA4-B2C5-E470FE643C3D}" srcOrd="1" destOrd="0" presId="urn:microsoft.com/office/officeart/2005/8/layout/cycle4"/>
    <dgm:cxn modelId="{1907C235-DA6F-4F7E-A6F7-5A2C3F54416C}" type="presParOf" srcId="{FE63E7CB-2C81-463D-95DE-F702564F5062}" destId="{3A6C6E64-6301-4D24-9EEC-CE249B4757BA}" srcOrd="2" destOrd="0" presId="urn:microsoft.com/office/officeart/2005/8/layout/cycle4"/>
    <dgm:cxn modelId="{950E1E1E-C92D-4A2B-BC8C-66E25F2CAD5F}" type="presParOf" srcId="{3A6C6E64-6301-4D24-9EEC-CE249B4757BA}" destId="{8896DA89-F480-4889-92A8-A8119BBC2767}" srcOrd="0" destOrd="0" presId="urn:microsoft.com/office/officeart/2005/8/layout/cycle4"/>
    <dgm:cxn modelId="{1502C1D3-CB49-4BEF-AF17-93BD9CD71D50}" type="presParOf" srcId="{3A6C6E64-6301-4D24-9EEC-CE249B4757BA}" destId="{EE9E9C58-E3F4-4A94-ADBA-E4E59DDCB646}" srcOrd="1" destOrd="0" presId="urn:microsoft.com/office/officeart/2005/8/layout/cycle4"/>
    <dgm:cxn modelId="{C3296F2A-B8C6-4923-83CF-71CED6034723}" type="presParOf" srcId="{FE63E7CB-2C81-463D-95DE-F702564F5062}" destId="{A9F102B1-CA65-4AB2-A12F-EE89970AF638}" srcOrd="3" destOrd="0" presId="urn:microsoft.com/office/officeart/2005/8/layout/cycle4"/>
    <dgm:cxn modelId="{F62F8565-B541-4CDF-8B73-57E75C49A5AB}" type="presParOf" srcId="{A9F102B1-CA65-4AB2-A12F-EE89970AF638}" destId="{816160CB-6281-4325-AF9B-62AE767A6F33}" srcOrd="0" destOrd="0" presId="urn:microsoft.com/office/officeart/2005/8/layout/cycle4"/>
    <dgm:cxn modelId="{73570C70-616C-4384-B3C3-8A924FDFA627}" type="presParOf" srcId="{A9F102B1-CA65-4AB2-A12F-EE89970AF638}" destId="{E4BA6D6B-5ABE-4CB5-BC26-3B9EF4003DD0}" srcOrd="1" destOrd="0" presId="urn:microsoft.com/office/officeart/2005/8/layout/cycle4"/>
    <dgm:cxn modelId="{AE62DEC0-B42C-4E25-AA99-F9608974413A}" type="presParOf" srcId="{FE63E7CB-2C81-463D-95DE-F702564F5062}" destId="{818E0EEF-D0E3-493A-8B83-56F95BE78116}" srcOrd="4" destOrd="0" presId="urn:microsoft.com/office/officeart/2005/8/layout/cycle4"/>
    <dgm:cxn modelId="{D9B1A2A5-4A75-49F3-876D-2DA3F2C55DA3}" type="presParOf" srcId="{CC0C570A-DE2F-45BD-8E24-A5F4795579C2}" destId="{2337EAAB-63C5-441D-93CC-2202CAB29F99}" srcOrd="1" destOrd="0" presId="urn:microsoft.com/office/officeart/2005/8/layout/cycle4"/>
    <dgm:cxn modelId="{9E0732C1-5029-461D-AD0B-E597339A2A11}" type="presParOf" srcId="{2337EAAB-63C5-441D-93CC-2202CAB29F99}" destId="{E39089E6-1304-44F0-8B34-7490DDF6F0B1}" srcOrd="0" destOrd="0" presId="urn:microsoft.com/office/officeart/2005/8/layout/cycle4"/>
    <dgm:cxn modelId="{2557A3FA-F508-4CA9-8918-A1A832A15102}" type="presParOf" srcId="{2337EAAB-63C5-441D-93CC-2202CAB29F99}" destId="{51D95CB4-8CF7-4F03-9053-D0E6F6B67A7D}" srcOrd="1" destOrd="0" presId="urn:microsoft.com/office/officeart/2005/8/layout/cycle4"/>
    <dgm:cxn modelId="{699BC7D7-D1D8-44CC-B308-C1309871B2BF}" type="presParOf" srcId="{2337EAAB-63C5-441D-93CC-2202CAB29F99}" destId="{78439DCB-2A0E-4412-B0FE-A4974E2AB5C7}" srcOrd="2" destOrd="0" presId="urn:microsoft.com/office/officeart/2005/8/layout/cycle4"/>
    <dgm:cxn modelId="{4775A553-1941-4334-A671-740C0BDBB503}" type="presParOf" srcId="{2337EAAB-63C5-441D-93CC-2202CAB29F99}" destId="{99623156-A9B5-421C-B646-CAF668BA375C}" srcOrd="3" destOrd="0" presId="urn:microsoft.com/office/officeart/2005/8/layout/cycle4"/>
    <dgm:cxn modelId="{768C91D3-4A30-4B52-8470-1EC81443CAE6}" type="presParOf" srcId="{2337EAAB-63C5-441D-93CC-2202CAB29F99}" destId="{6497AAC8-E741-4E83-8C97-588424C6B3D0}" srcOrd="4" destOrd="0" presId="urn:microsoft.com/office/officeart/2005/8/layout/cycle4"/>
    <dgm:cxn modelId="{11148DC4-E87D-4E8D-91F4-3390DE5ED915}" type="presParOf" srcId="{CC0C570A-DE2F-45BD-8E24-A5F4795579C2}" destId="{739743F5-1A3B-4F14-83CD-138ED2E9E67A}" srcOrd="2" destOrd="0" presId="urn:microsoft.com/office/officeart/2005/8/layout/cycle4"/>
    <dgm:cxn modelId="{A0E36975-C0AE-456F-824A-892D2DB5A978}" type="presParOf" srcId="{CC0C570A-DE2F-45BD-8E24-A5F4795579C2}" destId="{232E7BD9-E84C-4C83-9F86-7F1D9C705EF2}" srcOrd="3" destOrd="0" presId="urn:microsoft.com/office/officeart/2005/8/layout/cycle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896DA89-F480-4889-92A8-A8119BBC2767}">
      <dsp:nvSpPr>
        <dsp:cNvPr id="0" name=""/>
        <dsp:cNvSpPr/>
      </dsp:nvSpPr>
      <dsp:spPr>
        <a:xfrm>
          <a:off x="4688707" y="3578629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    Preferências por preservar alto volume de reservas financeiras, favorecem Decisão em prol do Aluguel*</a:t>
          </a:r>
        </a:p>
      </dsp:txBody>
      <dsp:txXfrm>
        <a:off x="5505630" y="4036637"/>
        <a:ext cx="1745852" cy="1189059"/>
      </dsp:txXfrm>
    </dsp:sp>
    <dsp:sp modelId="{816160CB-6281-4325-AF9B-62AE767A6F33}">
      <dsp:nvSpPr>
        <dsp:cNvPr id="0" name=""/>
        <dsp:cNvSpPr/>
      </dsp:nvSpPr>
      <dsp:spPr>
        <a:xfrm>
          <a:off x="446979" y="3578629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Preferências por </a:t>
          </a:r>
          <a:br>
            <a:rPr lang="pt-BR" sz="1100" kern="1200"/>
          </a:br>
          <a:r>
            <a:rPr lang="pt-BR" sz="1100" kern="1200"/>
            <a:t>mobilidade, adaptabilidade, deslocamento, favorecem decisão de Alugar*</a:t>
          </a:r>
        </a:p>
      </dsp:txBody>
      <dsp:txXfrm>
        <a:off x="483972" y="4036637"/>
        <a:ext cx="1745852" cy="1189059"/>
      </dsp:txXfrm>
    </dsp:sp>
    <dsp:sp modelId="{3365F9AE-F79B-4F3F-BA66-74C7ADDFC369}">
      <dsp:nvSpPr>
        <dsp:cNvPr id="0" name=""/>
        <dsp:cNvSpPr/>
      </dsp:nvSpPr>
      <dsp:spPr>
        <a:xfrm>
          <a:off x="4688707" y="0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Pouca tolerância às autorizações/decisões do proprietário, favorecem Decisão da Compra*</a:t>
          </a:r>
        </a:p>
      </dsp:txBody>
      <dsp:txXfrm>
        <a:off x="5505630" y="36993"/>
        <a:ext cx="1745852" cy="1189059"/>
      </dsp:txXfrm>
    </dsp:sp>
    <dsp:sp modelId="{872A1269-6850-4391-99F5-DBADBE363900}">
      <dsp:nvSpPr>
        <dsp:cNvPr id="0" name=""/>
        <dsp:cNvSpPr/>
      </dsp:nvSpPr>
      <dsp:spPr>
        <a:xfrm>
          <a:off x="446979" y="0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Baixos níveis de Disciplina Financeira, favorecem Decisão da Compra*</a:t>
          </a:r>
        </a:p>
      </dsp:txBody>
      <dsp:txXfrm>
        <a:off x="483972" y="36993"/>
        <a:ext cx="1745852" cy="1189059"/>
      </dsp:txXfrm>
    </dsp:sp>
    <dsp:sp modelId="{E39089E6-1304-44F0-8B34-7490DDF6F0B1}">
      <dsp:nvSpPr>
        <dsp:cNvPr id="0" name=""/>
        <dsp:cNvSpPr/>
      </dsp:nvSpPr>
      <dsp:spPr>
        <a:xfrm>
          <a:off x="1536355" y="299973"/>
          <a:ext cx="2278744" cy="2278744"/>
        </a:xfrm>
        <a:prstGeom prst="pieWedge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6464" tIns="156464" rIns="156464" bIns="156464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Disciplina</a:t>
          </a:r>
        </a:p>
      </dsp:txBody>
      <dsp:txXfrm>
        <a:off x="2203784" y="967402"/>
        <a:ext cx="1611315" cy="1611315"/>
      </dsp:txXfrm>
    </dsp:sp>
    <dsp:sp modelId="{51D95CB4-8CF7-4F03-9053-D0E6F6B67A7D}">
      <dsp:nvSpPr>
        <dsp:cNvPr id="0" name=""/>
        <dsp:cNvSpPr/>
      </dsp:nvSpPr>
      <dsp:spPr>
        <a:xfrm rot="5400000">
          <a:off x="3920354" y="299973"/>
          <a:ext cx="2278744" cy="2278744"/>
        </a:xfrm>
        <a:prstGeom prst="pieWedge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6464" tIns="156464" rIns="156464" bIns="156464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Submissão</a:t>
          </a:r>
        </a:p>
      </dsp:txBody>
      <dsp:txXfrm rot="-5400000">
        <a:off x="3920354" y="967402"/>
        <a:ext cx="1611315" cy="1611315"/>
      </dsp:txXfrm>
    </dsp:sp>
    <dsp:sp modelId="{78439DCB-2A0E-4412-B0FE-A4974E2AB5C7}">
      <dsp:nvSpPr>
        <dsp:cNvPr id="0" name=""/>
        <dsp:cNvSpPr/>
      </dsp:nvSpPr>
      <dsp:spPr>
        <a:xfrm rot="10800000">
          <a:off x="3920354" y="2683971"/>
          <a:ext cx="2278744" cy="2278744"/>
        </a:xfrm>
        <a:prstGeom prst="pieWedge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6464" tIns="156464" rIns="156464" bIns="156464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Segurança</a:t>
          </a:r>
        </a:p>
      </dsp:txBody>
      <dsp:txXfrm rot="10800000">
        <a:off x="3920354" y="2683971"/>
        <a:ext cx="1611315" cy="1611315"/>
      </dsp:txXfrm>
    </dsp:sp>
    <dsp:sp modelId="{99623156-A9B5-421C-B646-CAF668BA375C}">
      <dsp:nvSpPr>
        <dsp:cNvPr id="0" name=""/>
        <dsp:cNvSpPr/>
      </dsp:nvSpPr>
      <dsp:spPr>
        <a:xfrm rot="16200000">
          <a:off x="1536355" y="2683971"/>
          <a:ext cx="2278744" cy="2278744"/>
        </a:xfrm>
        <a:prstGeom prst="pieWedge">
          <a:avLst/>
        </a:prstGeom>
        <a:solidFill>
          <a:schemeClr val="accent5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6464" tIns="156464" rIns="156464" bIns="156464" numCol="1" spcCol="1270" anchor="ctr" anchorCtr="0">
          <a:noAutofit/>
        </a:bodyPr>
        <a:lstStyle/>
        <a:p>
          <a:pPr marL="0" lvl="0" indent="0" algn="ct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2200" kern="1200"/>
            <a:t>Mobilidade</a:t>
          </a:r>
        </a:p>
      </dsp:txBody>
      <dsp:txXfrm rot="5400000">
        <a:off x="2203784" y="2683971"/>
        <a:ext cx="1611315" cy="1611315"/>
      </dsp:txXfrm>
    </dsp:sp>
    <dsp:sp modelId="{739743F5-1A3B-4F14-83CD-138ED2E9E67A}">
      <dsp:nvSpPr>
        <dsp:cNvPr id="0" name=""/>
        <dsp:cNvSpPr/>
      </dsp:nvSpPr>
      <dsp:spPr>
        <a:xfrm>
          <a:off x="3474341" y="2157702"/>
          <a:ext cx="786772" cy="684149"/>
        </a:xfrm>
        <a:prstGeom prst="circularArrow">
          <a:avLst/>
        </a:prstGeom>
        <a:solidFill>
          <a:schemeClr val="accent2"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32E7BD9-E84C-4C83-9F86-7F1D9C705EF2}">
      <dsp:nvSpPr>
        <dsp:cNvPr id="0" name=""/>
        <dsp:cNvSpPr/>
      </dsp:nvSpPr>
      <dsp:spPr>
        <a:xfrm rot="10800000">
          <a:off x="3474341" y="2420837"/>
          <a:ext cx="786772" cy="684149"/>
        </a:xfrm>
        <a:prstGeom prst="circularArrow">
          <a:avLst/>
        </a:prstGeom>
        <a:solidFill>
          <a:schemeClr val="accent2"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896DA89-F480-4889-92A8-A8119BBC2767}">
      <dsp:nvSpPr>
        <dsp:cNvPr id="0" name=""/>
        <dsp:cNvSpPr/>
      </dsp:nvSpPr>
      <dsp:spPr>
        <a:xfrm>
          <a:off x="4688707" y="3578629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    Quando a Decisão de Comprar representa alto nível de concentração do Patrimônio Familiar, faz sentido analisar com carinho a estratégia do Aluguel</a:t>
          </a:r>
        </a:p>
      </dsp:txBody>
      <dsp:txXfrm>
        <a:off x="5505630" y="4036637"/>
        <a:ext cx="1745852" cy="1189059"/>
      </dsp:txXfrm>
    </dsp:sp>
    <dsp:sp modelId="{816160CB-6281-4325-AF9B-62AE767A6F33}">
      <dsp:nvSpPr>
        <dsp:cNvPr id="0" name=""/>
        <dsp:cNvSpPr/>
      </dsp:nvSpPr>
      <dsp:spPr>
        <a:xfrm>
          <a:off x="446979" y="3578629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Não dispor de acesso a crédito, naturalmente, impossibilita a Decisão pela Compra, quando não existe capacidade de aquisição à vista*</a:t>
          </a:r>
        </a:p>
      </dsp:txBody>
      <dsp:txXfrm>
        <a:off x="483972" y="4036637"/>
        <a:ext cx="1745852" cy="1189059"/>
      </dsp:txXfrm>
    </dsp:sp>
    <dsp:sp modelId="{3365F9AE-F79B-4F3F-BA66-74C7ADDFC369}">
      <dsp:nvSpPr>
        <dsp:cNvPr id="0" name=""/>
        <dsp:cNvSpPr/>
      </dsp:nvSpPr>
      <dsp:spPr>
        <a:xfrm>
          <a:off x="4688707" y="0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Qual retorno real médio que VOCÊ consegue obter dos seus investimentos?</a:t>
          </a:r>
          <a:br>
            <a:rPr lang="pt-BR" sz="1100" kern="1200"/>
          </a:br>
          <a:r>
            <a:rPr lang="pt-BR" sz="1100" kern="1200"/>
            <a:t>Este número será determinante na escolha da estratégia mais lucrativa.</a:t>
          </a:r>
        </a:p>
      </dsp:txBody>
      <dsp:txXfrm>
        <a:off x="5505630" y="36993"/>
        <a:ext cx="1745852" cy="1189059"/>
      </dsp:txXfrm>
    </dsp:sp>
    <dsp:sp modelId="{872A1269-6850-4391-99F5-DBADBE363900}">
      <dsp:nvSpPr>
        <dsp:cNvPr id="0" name=""/>
        <dsp:cNvSpPr/>
      </dsp:nvSpPr>
      <dsp:spPr>
        <a:xfrm>
          <a:off x="446979" y="0"/>
          <a:ext cx="2599768" cy="168406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Este é o número de referência para comparação do que poderia ser obtido em aplicações financeiras, no caso de estratégia de construção de riqueza via Aluguel* </a:t>
          </a:r>
        </a:p>
      </dsp:txBody>
      <dsp:txXfrm>
        <a:off x="483972" y="36993"/>
        <a:ext cx="1745852" cy="1189059"/>
      </dsp:txXfrm>
    </dsp:sp>
    <dsp:sp modelId="{E39089E6-1304-44F0-8B34-7490DDF6F0B1}">
      <dsp:nvSpPr>
        <dsp:cNvPr id="0" name=""/>
        <dsp:cNvSpPr/>
      </dsp:nvSpPr>
      <dsp:spPr>
        <a:xfrm>
          <a:off x="1536355" y="299973"/>
          <a:ext cx="2278744" cy="2278744"/>
        </a:xfrm>
        <a:prstGeom prst="pieWedge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600" kern="1200"/>
            <a:t>Nível Disponibilidades</a:t>
          </a:r>
        </a:p>
      </dsp:txBody>
      <dsp:txXfrm>
        <a:off x="2203784" y="967402"/>
        <a:ext cx="1611315" cy="1611315"/>
      </dsp:txXfrm>
    </dsp:sp>
    <dsp:sp modelId="{51D95CB4-8CF7-4F03-9053-D0E6F6B67A7D}">
      <dsp:nvSpPr>
        <dsp:cNvPr id="0" name=""/>
        <dsp:cNvSpPr/>
      </dsp:nvSpPr>
      <dsp:spPr>
        <a:xfrm rot="5400000">
          <a:off x="3920354" y="299973"/>
          <a:ext cx="2278744" cy="2278744"/>
        </a:xfrm>
        <a:prstGeom prst="pieWedge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600" kern="1200"/>
            <a:t>Custo de Oportunidade</a:t>
          </a:r>
        </a:p>
      </dsp:txBody>
      <dsp:txXfrm rot="-5400000">
        <a:off x="3920354" y="967402"/>
        <a:ext cx="1611315" cy="1611315"/>
      </dsp:txXfrm>
    </dsp:sp>
    <dsp:sp modelId="{78439DCB-2A0E-4412-B0FE-A4974E2AB5C7}">
      <dsp:nvSpPr>
        <dsp:cNvPr id="0" name=""/>
        <dsp:cNvSpPr/>
      </dsp:nvSpPr>
      <dsp:spPr>
        <a:xfrm rot="10800000">
          <a:off x="3920354" y="2683971"/>
          <a:ext cx="2278744" cy="2278744"/>
        </a:xfrm>
        <a:prstGeom prst="pieWedge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600" kern="1200"/>
            <a:t>Diversificação</a:t>
          </a:r>
        </a:p>
      </dsp:txBody>
      <dsp:txXfrm rot="10800000">
        <a:off x="3920354" y="2683971"/>
        <a:ext cx="1611315" cy="1611315"/>
      </dsp:txXfrm>
    </dsp:sp>
    <dsp:sp modelId="{99623156-A9B5-421C-B646-CAF668BA375C}">
      <dsp:nvSpPr>
        <dsp:cNvPr id="0" name=""/>
        <dsp:cNvSpPr/>
      </dsp:nvSpPr>
      <dsp:spPr>
        <a:xfrm rot="16200000">
          <a:off x="1536355" y="2683971"/>
          <a:ext cx="2278744" cy="2278744"/>
        </a:xfrm>
        <a:prstGeom prst="pieWedge">
          <a:avLst/>
        </a:prstGeom>
        <a:solidFill>
          <a:schemeClr val="accent5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600" kern="1200"/>
            <a:t>Acesso a Crédito</a:t>
          </a:r>
        </a:p>
      </dsp:txBody>
      <dsp:txXfrm rot="5400000">
        <a:off x="2203784" y="2683971"/>
        <a:ext cx="1611315" cy="1611315"/>
      </dsp:txXfrm>
    </dsp:sp>
    <dsp:sp modelId="{739743F5-1A3B-4F14-83CD-138ED2E9E67A}">
      <dsp:nvSpPr>
        <dsp:cNvPr id="0" name=""/>
        <dsp:cNvSpPr/>
      </dsp:nvSpPr>
      <dsp:spPr>
        <a:xfrm>
          <a:off x="3474341" y="2157702"/>
          <a:ext cx="786772" cy="684149"/>
        </a:xfrm>
        <a:prstGeom prst="circularArrow">
          <a:avLst/>
        </a:prstGeom>
        <a:solidFill>
          <a:schemeClr val="accent2"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32E7BD9-E84C-4C83-9F86-7F1D9C705EF2}">
      <dsp:nvSpPr>
        <dsp:cNvPr id="0" name=""/>
        <dsp:cNvSpPr/>
      </dsp:nvSpPr>
      <dsp:spPr>
        <a:xfrm rot="10800000">
          <a:off x="3474341" y="2420837"/>
          <a:ext cx="786772" cy="684149"/>
        </a:xfrm>
        <a:prstGeom prst="circularArrow">
          <a:avLst/>
        </a:prstGeom>
        <a:solidFill>
          <a:schemeClr val="accent2"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ycle4">
  <dgm:title val=""/>
  <dgm:desc val=""/>
  <dgm:catLst>
    <dgm:cat type="relationship" pri="26000"/>
    <dgm:cat type="cycle" pri="13000"/>
    <dgm:cat type="matrix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cycleMatrixDiagram">
    <dgm:varLst>
      <dgm:chMax val="1"/>
      <dgm:dir/>
      <dgm:animLvl val="lvl"/>
      <dgm:resizeHandles val="exact"/>
    </dgm:varLst>
    <dgm:alg type="composite">
      <dgm:param type="ar" val="1.3"/>
    </dgm:alg>
    <dgm:shape xmlns:r="http://schemas.openxmlformats.org/officeDocument/2006/relationships" r:blip="">
      <dgm:adjLst/>
    </dgm:shape>
    <dgm:presOf/>
    <dgm:constrLst>
      <dgm:constr type="w" for="ch" forName="children" refType="w"/>
      <dgm:constr type="h" for="ch" forName="children" refType="w" refFor="ch" refForName="children" fact="0.77"/>
      <dgm:constr type="ctrX" for="ch" forName="children" refType="w" fact="0.5"/>
      <dgm:constr type="ctrY" for="ch" forName="children" refType="h" fact="0.5"/>
      <dgm:constr type="w" for="ch" forName="circle" refType="w"/>
      <dgm:constr type="h" for="ch" forName="circle" refType="h"/>
      <dgm:constr type="ctrX" for="ch" forName="circle" refType="w" fact="0.5"/>
      <dgm:constr type="ctrY" for="ch" forName="circle" refType="h" fact="0.5"/>
      <dgm:constr type="w" for="ch" forName="center1" refType="w" fact="0.115"/>
      <dgm:constr type="h" for="ch" forName="center1" refType="w" fact="0.1"/>
      <dgm:constr type="ctrX" for="ch" forName="center1" refType="w" fact="0.5"/>
      <dgm:constr type="ctrY" for="ch" forName="center1" refType="h" fact="0.475"/>
      <dgm:constr type="w" for="ch" forName="center2" refType="w" fact="0.115"/>
      <dgm:constr type="h" for="ch" forName="center2" refType="w" fact="0.1"/>
      <dgm:constr type="ctrX" for="ch" forName="center2" refType="w" fact="0.5"/>
      <dgm:constr type="ctrY" for="ch" forName="center2" refType="h" fact="0.525"/>
    </dgm:constrLst>
    <dgm:ruleLst/>
    <dgm:choose name="Name0">
      <dgm:if name="Name1" axis="ch" ptType="node" func="cnt" op="gte" val="1">
        <dgm:layoutNode name="children">
          <dgm:alg type="composite">
            <dgm:param type="ar" val="1.3"/>
          </dgm:alg>
          <dgm:shape xmlns:r="http://schemas.openxmlformats.org/officeDocument/2006/relationships" r:blip="">
            <dgm:adjLst/>
          </dgm:shape>
          <dgm:presOf/>
          <dgm:choose name="Name2">
            <dgm:if name="Name3" func="var" arg="dir" op="equ" val="norm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l" for="ch" forName="child1group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r" for="ch" forName="child2group" refType="w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r" for="ch" forName="child3group" refType="w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l" for="ch" forName="child4group"/>
              </dgm:constrLst>
            </dgm:if>
            <dgm:else name="Name4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r" for="ch" forName="child1group" refType="w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l" for="ch" forName="child2group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l" for="ch" forName="child3group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r" for="ch" forName="child4group" refType="w"/>
              </dgm:constrLst>
            </dgm:else>
          </dgm:choose>
          <dgm:ruleLst/>
          <dgm:choose name="Name5">
            <dgm:if name="Name6" axis="ch ch" ptType="node node" st="1 1" cnt="1 0" func="cnt" op="gte" val="1">
              <dgm:layoutNode name="child1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7">
                  <dgm:if name="Name8" func="var" arg="dir" op="equ" val="norm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l" for="ch" forName="child1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l" for="ch" forName="child1Text"/>
                    </dgm:constrLst>
                  </dgm:if>
                  <dgm:else name="Name9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r" for="ch" forName="child1" refType="w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r" for="ch" forName="child1Text" refType="w"/>
                    </dgm:constrLst>
                  </dgm:else>
                </dgm:choose>
                <dgm:ruleLst/>
                <dgm:layoutNode name="child1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1 1" cnt="1 0"/>
                  <dgm:constrLst/>
                  <dgm:ruleLst/>
                </dgm:layoutNode>
                <dgm:layoutNode name="child1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1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0"/>
          </dgm:choose>
          <dgm:choose name="Name11">
            <dgm:if name="Name12" axis="ch ch" ptType="node node" st="2 1" cnt="1 0" func="cnt" op="gte" val="1">
              <dgm:layoutNode name="child2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choose name="Name13">
                  <dgm:if name="Name14" func="var" arg="dir" op="equ" val="norm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r" for="ch" forName="child2" refType="w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r" for="ch" forName="child2Text" refType="w"/>
                    </dgm:constrLst>
                  </dgm:if>
                  <dgm:else name="Name15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l" for="ch" forName="child2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l" for="ch" forName="child2Text"/>
                    </dgm:constrLst>
                  </dgm:else>
                </dgm:choose>
                <dgm:ruleLst/>
                <dgm:layoutNode name="child2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2 1" cnt="1 0"/>
                  <dgm:constrLst/>
                  <dgm:ruleLst/>
                </dgm:layoutNode>
                <dgm:layoutNode name="child2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2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6"/>
          </dgm:choose>
          <dgm:choose name="Name17">
            <dgm:if name="Name18" axis="ch ch" ptType="node node" st="3 1" cnt="1 0" func="cnt" op="gte" val="1">
              <dgm:layoutNode name="child3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19">
                  <dgm:if name="Name20" func="var" arg="dir" op="equ" val="norm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r" for="ch" forName="child3" refType="w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r" for="ch" forName="child3Text" refType="w"/>
                    </dgm:constrLst>
                  </dgm:if>
                  <dgm:else name="Name21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l" for="ch" forName="child3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l" for="ch" forName="child3Text"/>
                    </dgm:constrLst>
                  </dgm:else>
                </dgm:choose>
                <dgm:ruleLst/>
                <dgm:layoutNode name="child3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3 1" cnt="1 0"/>
                  <dgm:constrLst/>
                  <dgm:ruleLst/>
                </dgm:layoutNode>
                <dgm:layoutNode name="child3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3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2"/>
          </dgm:choose>
          <dgm:choose name="Name23">
            <dgm:if name="Name24" axis="ch ch" ptType="node node" st="4 1" cnt="1 0" func="cnt" op="gte" val="1">
              <dgm:layoutNode name="child4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25">
                  <dgm:if name="Name26" func="var" arg="dir" op="equ" val="norm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l" for="ch" forName="child4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l" for="ch" forName="child4Text"/>
                    </dgm:constrLst>
                  </dgm:if>
                  <dgm:else name="Name27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r" for="ch" forName="child4" refType="w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r" for="ch" forName="child4Text" refType="w"/>
                    </dgm:constrLst>
                  </dgm:else>
                </dgm:choose>
                <dgm:ruleLst/>
                <dgm:layoutNode name="child4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4 1" cnt="1 0"/>
                  <dgm:constrLst/>
                  <dgm:ruleLst/>
                </dgm:layoutNode>
                <dgm:layoutNode name="child4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4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8"/>
          </dgm:choose>
          <dgm:layoutNode name="child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ircle">
          <dgm:alg type="composite">
            <dgm:param type="ar" val="1"/>
          </dgm:alg>
          <dgm:shape xmlns:r="http://schemas.openxmlformats.org/officeDocument/2006/relationships" r:blip="">
            <dgm:adjLst/>
          </dgm:shape>
          <dgm:presOf/>
          <dgm:choose name="Name29">
            <dgm:if name="Name30" func="var" arg="dir" op="equ" val="norm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r" for="ch" forName="quadrant1" refType="w" fact="0.5"/>
                <dgm:constr type="rOff" for="ch" forName="quadrant1" refType="w" fact="-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l" for="ch" forName="quadrant2" refType="w" fact="0.5"/>
                <dgm:constr type="lOff" for="ch" forName="quadrant2" refType="w" fact="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l" for="ch" forName="quadrant3" refType="w" fact="0.5"/>
                <dgm:constr type="lOff" for="ch" forName="quadrant3" refType="w" fact="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r" for="ch" forName="quadrant4" refType="w" fact="0.5"/>
                <dgm:constr type="rOff" for="ch" forName="quadrant4" refType="w" fact="-0.01"/>
              </dgm:constrLst>
            </dgm:if>
            <dgm:else name="Name31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l" for="ch" forName="quadrant1" refType="w" fact="0.5"/>
                <dgm:constr type="lOff" for="ch" forName="quadrant1" refType="w" fact="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r" for="ch" forName="quadrant2" refType="w" fact="0.5"/>
                <dgm:constr type="rOff" for="ch" forName="quadrant2" refType="w" fact="-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r" for="ch" forName="quadrant3" refType="w" fact="0.5"/>
                <dgm:constr type="rOff" for="ch" forName="quadrant3" refType="w" fact="-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l" for="ch" forName="quadrant4" refType="w" fact="0.5"/>
                <dgm:constr type="lOff" for="ch" forName="quadrant4" refType="w" fact="0.01"/>
              </dgm:constrLst>
            </dgm:else>
          </dgm:choose>
          <dgm:ruleLst/>
          <dgm:layoutNode name="quadrant1" styleLbl="node1">
            <dgm:varLst>
              <dgm:chMax val="1"/>
              <dgm:bulletEnabled val="1"/>
            </dgm:varLst>
            <dgm:alg type="tx"/>
            <dgm:choose name="Name32">
              <dgm:if name="Name33" func="var" arg="dir" op="equ" val="norm">
                <dgm:shape xmlns:r="http://schemas.openxmlformats.org/officeDocument/2006/relationships" type="pieWedge" r:blip="">
                  <dgm:adjLst/>
                </dgm:shape>
              </dgm:if>
              <dgm:else name="Name34">
                <dgm:shape xmlns:r="http://schemas.openxmlformats.org/officeDocument/2006/relationships" rot="90" type="pieWedge" r:blip="">
                  <dgm:adjLst/>
                </dgm:shape>
              </dgm:else>
            </dgm:choose>
            <dgm:presOf axis="ch" ptType="node" cnt="1"/>
            <dgm:constrLst/>
            <dgm:ruleLst>
              <dgm:rule type="primFontSz" val="5" fact="NaN" max="NaN"/>
            </dgm:ruleLst>
          </dgm:layoutNode>
          <dgm:layoutNode name="quadrant2" styleLbl="node1">
            <dgm:varLst>
              <dgm:chMax val="1"/>
              <dgm:bulletEnabled val="1"/>
            </dgm:varLst>
            <dgm:alg type="tx"/>
            <dgm:choose name="Name35">
              <dgm:if name="Name36" func="var" arg="dir" op="equ" val="norm">
                <dgm:shape xmlns:r="http://schemas.openxmlformats.org/officeDocument/2006/relationships" rot="90" type="pieWedge" r:blip="">
                  <dgm:adjLst/>
                </dgm:shape>
              </dgm:if>
              <dgm:else name="Name37">
                <dgm:shape xmlns:r="http://schemas.openxmlformats.org/officeDocument/2006/relationships" type="pieWedge" r:blip="">
                  <dgm:adjLst/>
                </dgm:shape>
              </dgm:else>
            </dgm:choose>
            <dgm:presOf axis="ch" ptType="node" st="2" cnt="1"/>
            <dgm:constrLst/>
            <dgm:ruleLst>
              <dgm:rule type="primFontSz" val="5" fact="NaN" max="NaN"/>
            </dgm:ruleLst>
          </dgm:layoutNode>
          <dgm:layoutNode name="quadrant3" styleLbl="node1">
            <dgm:varLst>
              <dgm:chMax val="1"/>
              <dgm:bulletEnabled val="1"/>
            </dgm:varLst>
            <dgm:alg type="tx"/>
            <dgm:choose name="Name38">
              <dgm:if name="Name39" func="var" arg="dir" op="equ" val="norm">
                <dgm:shape xmlns:r="http://schemas.openxmlformats.org/officeDocument/2006/relationships" rot="180" type="pieWedge" r:blip="">
                  <dgm:adjLst/>
                </dgm:shape>
              </dgm:if>
              <dgm:else name="Name40">
                <dgm:shape xmlns:r="http://schemas.openxmlformats.org/officeDocument/2006/relationships" rot="270" type="pieWedge" r:blip="">
                  <dgm:adjLst/>
                </dgm:shape>
              </dgm:else>
            </dgm:choose>
            <dgm:presOf axis="ch" ptType="node" st="3" cnt="1"/>
            <dgm:constrLst/>
            <dgm:ruleLst>
              <dgm:rule type="primFontSz" val="5" fact="NaN" max="NaN"/>
            </dgm:ruleLst>
          </dgm:layoutNode>
          <dgm:layoutNode name="quadrant4" styleLbl="node1">
            <dgm:varLst>
              <dgm:chMax val="1"/>
              <dgm:bulletEnabled val="1"/>
            </dgm:varLst>
            <dgm:alg type="tx"/>
            <dgm:choose name="Name41">
              <dgm:if name="Name42" func="var" arg="dir" op="equ" val="norm">
                <dgm:shape xmlns:r="http://schemas.openxmlformats.org/officeDocument/2006/relationships" rot="270" type="pieWedge" r:blip="">
                  <dgm:adjLst/>
                </dgm:shape>
              </dgm:if>
              <dgm:else name="Name43">
                <dgm:shape xmlns:r="http://schemas.openxmlformats.org/officeDocument/2006/relationships" rot="180" type="pieWedge" r:blip="">
                  <dgm:adjLst/>
                </dgm:shape>
              </dgm:else>
            </dgm:choose>
            <dgm:presOf axis="ch" ptType="node" st="4" cnt="1"/>
            <dgm:constrLst/>
            <dgm:ruleLst>
              <dgm:rule type="primFontSz" val="5" fact="NaN" max="NaN"/>
            </dgm:ruleLst>
          </dgm:layoutNode>
          <dgm:layoutNode name="quadrant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enter1" styleLbl="fgShp">
          <dgm:alg type="sp"/>
          <dgm:choose name="Name44">
            <dgm:if name="Name45" func="var" arg="dir" op="equ" val="norm">
              <dgm:shape xmlns:r="http://schemas.openxmlformats.org/officeDocument/2006/relationships" type="circularArrow" r:blip="" zOrderOff="16">
                <dgm:adjLst/>
              </dgm:shape>
            </dgm:if>
            <dgm:else name="Name46">
              <dgm:shape xmlns:r="http://schemas.openxmlformats.org/officeDocument/2006/relationships" rot="180" type="leftCircularArrow" r:blip="" zOrderOff="16">
                <dgm:adjLst/>
              </dgm:shape>
            </dgm:else>
          </dgm:choose>
          <dgm:presOf/>
          <dgm:constrLst/>
          <dgm:ruleLst/>
        </dgm:layoutNode>
        <dgm:layoutNode name="center2" styleLbl="fgShp">
          <dgm:alg type="sp"/>
          <dgm:choose name="Name47">
            <dgm:if name="Name48" func="var" arg="dir" op="equ" val="norm">
              <dgm:shape xmlns:r="http://schemas.openxmlformats.org/officeDocument/2006/relationships" rot="180" type="circularArrow" r:blip="" zOrderOff="16">
                <dgm:adjLst/>
              </dgm:shape>
            </dgm:if>
            <dgm:else name="Name49">
              <dgm:shape xmlns:r="http://schemas.openxmlformats.org/officeDocument/2006/relationships" type="leftCircularArrow" r:blip="" zOrderOff="16">
                <dgm:adjLst/>
              </dgm:shape>
            </dgm:else>
          </dgm:choose>
          <dgm:presOf/>
          <dgm:constrLst/>
          <dgm:ruleLst/>
        </dgm:layoutNode>
      </dgm:if>
      <dgm:else name="Name50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ycle4">
  <dgm:title val=""/>
  <dgm:desc val=""/>
  <dgm:catLst>
    <dgm:cat type="relationship" pri="26000"/>
    <dgm:cat type="cycle" pri="13000"/>
    <dgm:cat type="matrix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cycleMatrixDiagram">
    <dgm:varLst>
      <dgm:chMax val="1"/>
      <dgm:dir/>
      <dgm:animLvl val="lvl"/>
      <dgm:resizeHandles val="exact"/>
    </dgm:varLst>
    <dgm:alg type="composite">
      <dgm:param type="ar" val="1.3"/>
    </dgm:alg>
    <dgm:shape xmlns:r="http://schemas.openxmlformats.org/officeDocument/2006/relationships" r:blip="">
      <dgm:adjLst/>
    </dgm:shape>
    <dgm:presOf/>
    <dgm:constrLst>
      <dgm:constr type="w" for="ch" forName="children" refType="w"/>
      <dgm:constr type="h" for="ch" forName="children" refType="w" refFor="ch" refForName="children" fact="0.77"/>
      <dgm:constr type="ctrX" for="ch" forName="children" refType="w" fact="0.5"/>
      <dgm:constr type="ctrY" for="ch" forName="children" refType="h" fact="0.5"/>
      <dgm:constr type="w" for="ch" forName="circle" refType="w"/>
      <dgm:constr type="h" for="ch" forName="circle" refType="h"/>
      <dgm:constr type="ctrX" for="ch" forName="circle" refType="w" fact="0.5"/>
      <dgm:constr type="ctrY" for="ch" forName="circle" refType="h" fact="0.5"/>
      <dgm:constr type="w" for="ch" forName="center1" refType="w" fact="0.115"/>
      <dgm:constr type="h" for="ch" forName="center1" refType="w" fact="0.1"/>
      <dgm:constr type="ctrX" for="ch" forName="center1" refType="w" fact="0.5"/>
      <dgm:constr type="ctrY" for="ch" forName="center1" refType="h" fact="0.475"/>
      <dgm:constr type="w" for="ch" forName="center2" refType="w" fact="0.115"/>
      <dgm:constr type="h" for="ch" forName="center2" refType="w" fact="0.1"/>
      <dgm:constr type="ctrX" for="ch" forName="center2" refType="w" fact="0.5"/>
      <dgm:constr type="ctrY" for="ch" forName="center2" refType="h" fact="0.525"/>
    </dgm:constrLst>
    <dgm:ruleLst/>
    <dgm:choose name="Name0">
      <dgm:if name="Name1" axis="ch" ptType="node" func="cnt" op="gte" val="1">
        <dgm:layoutNode name="children">
          <dgm:alg type="composite">
            <dgm:param type="ar" val="1.3"/>
          </dgm:alg>
          <dgm:shape xmlns:r="http://schemas.openxmlformats.org/officeDocument/2006/relationships" r:blip="">
            <dgm:adjLst/>
          </dgm:shape>
          <dgm:presOf/>
          <dgm:choose name="Name2">
            <dgm:if name="Name3" func="var" arg="dir" op="equ" val="norm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l" for="ch" forName="child1group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r" for="ch" forName="child2group" refType="w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r" for="ch" forName="child3group" refType="w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l" for="ch" forName="child4group"/>
              </dgm:constrLst>
            </dgm:if>
            <dgm:else name="Name4">
              <dgm:constrLst>
                <dgm:constr type="primFontSz" for="des" ptType="node" op="equ" val="65"/>
                <dgm:constr type="w" for="ch" forName="child1group" refType="w" fact="0.38"/>
                <dgm:constr type="h" for="ch" forName="child1group" refType="h" fact="0.32"/>
                <dgm:constr type="t" for="ch" forName="child1group"/>
                <dgm:constr type="r" for="ch" forName="child1group" refType="w"/>
                <dgm:constr type="w" for="ch" forName="child2group" refType="w" fact="0.38"/>
                <dgm:constr type="h" for="ch" forName="child2group" refType="h" fact="0.32"/>
                <dgm:constr type="t" for="ch" forName="child2group"/>
                <dgm:constr type="l" for="ch" forName="child2group"/>
                <dgm:constr type="w" for="ch" forName="child3group" refType="w" fact="0.38"/>
                <dgm:constr type="h" for="ch" forName="child3group" refType="h" fact="0.32"/>
                <dgm:constr type="b" for="ch" forName="child3group" refType="h"/>
                <dgm:constr type="l" for="ch" forName="child3group"/>
                <dgm:constr type="w" for="ch" forName="child4group" refType="w" fact="0.38"/>
                <dgm:constr type="h" for="ch" forName="child4group" refType="h" fact="0.32"/>
                <dgm:constr type="b" for="ch" forName="child4group" refType="h"/>
                <dgm:constr type="r" for="ch" forName="child4group" refType="w"/>
              </dgm:constrLst>
            </dgm:else>
          </dgm:choose>
          <dgm:ruleLst/>
          <dgm:choose name="Name5">
            <dgm:if name="Name6" axis="ch ch" ptType="node node" st="1 1" cnt="1 0" func="cnt" op="gte" val="1">
              <dgm:layoutNode name="child1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7">
                  <dgm:if name="Name8" func="var" arg="dir" op="equ" val="norm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l" for="ch" forName="child1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l" for="ch" forName="child1Text"/>
                    </dgm:constrLst>
                  </dgm:if>
                  <dgm:else name="Name9">
                    <dgm:constrLst>
                      <dgm:constr type="w" for="ch" forName="child1" refType="w"/>
                      <dgm:constr type="h" for="ch" forName="child1" refType="h"/>
                      <dgm:constr type="t" for="ch" forName="child1"/>
                      <dgm:constr type="r" for="ch" forName="child1" refType="w"/>
                      <dgm:constr type="w" for="ch" forName="child1Text" refType="w" fact="0.7"/>
                      <dgm:constr type="h" for="ch" forName="child1Text" refType="h" fact="0.75"/>
                      <dgm:constr type="t" for="ch" forName="child1Text"/>
                      <dgm:constr type="r" for="ch" forName="child1Text" refType="w"/>
                    </dgm:constrLst>
                  </dgm:else>
                </dgm:choose>
                <dgm:ruleLst/>
                <dgm:layoutNode name="child1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1 1" cnt="1 0"/>
                  <dgm:constrLst/>
                  <dgm:ruleLst/>
                </dgm:layoutNode>
                <dgm:layoutNode name="child1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1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0"/>
          </dgm:choose>
          <dgm:choose name="Name11">
            <dgm:if name="Name12" axis="ch ch" ptType="node node" st="2 1" cnt="1 0" func="cnt" op="gte" val="1">
              <dgm:layoutNode name="child2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choose name="Name13">
                  <dgm:if name="Name14" func="var" arg="dir" op="equ" val="norm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r" for="ch" forName="child2" refType="w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r" for="ch" forName="child2Text" refType="w"/>
                    </dgm:constrLst>
                  </dgm:if>
                  <dgm:else name="Name15">
                    <dgm:constrLst>
                      <dgm:constr type="w" for="ch" forName="child2" refType="w"/>
                      <dgm:constr type="h" for="ch" forName="child2" refType="h"/>
                      <dgm:constr type="t" for="ch" forName="child2"/>
                      <dgm:constr type="l" for="ch" forName="child2"/>
                      <dgm:constr type="w" for="ch" forName="child2Text" refType="w" fact="0.7"/>
                      <dgm:constr type="h" for="ch" forName="child2Text" refType="h" fact="0.75"/>
                      <dgm:constr type="t" for="ch" forName="child2Text"/>
                      <dgm:constr type="l" for="ch" forName="child2Text"/>
                    </dgm:constrLst>
                  </dgm:else>
                </dgm:choose>
                <dgm:ruleLst/>
                <dgm:layoutNode name="child2" styleLbl="bgAcc1">
                  <dgm:alg type="sp"/>
                  <dgm:shape xmlns:r="http://schemas.openxmlformats.org/officeDocument/2006/relationships" type="roundRect" r:blip="" zOrderOff="-2">
                    <dgm:adjLst>
                      <dgm:adj idx="1" val="0.1"/>
                    </dgm:adjLst>
                  </dgm:shape>
                  <dgm:presOf axis="ch des" ptType="node node" st="2 1" cnt="1 0"/>
                  <dgm:constrLst/>
                  <dgm:ruleLst/>
                </dgm:layoutNode>
                <dgm:layoutNode name="child2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2" hideGeom="1">
                    <dgm:adjLst>
                      <dgm:adj idx="1" val="0.1"/>
                    </dgm:adjLst>
                  </dgm:shape>
                  <dgm:presOf axis="ch des" ptType="node node" st="2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16"/>
          </dgm:choose>
          <dgm:choose name="Name17">
            <dgm:if name="Name18" axis="ch ch" ptType="node node" st="3 1" cnt="1 0" func="cnt" op="gte" val="1">
              <dgm:layoutNode name="child3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19">
                  <dgm:if name="Name20" func="var" arg="dir" op="equ" val="norm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r" for="ch" forName="child3" refType="w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r" for="ch" forName="child3Text" refType="w"/>
                    </dgm:constrLst>
                  </dgm:if>
                  <dgm:else name="Name21">
                    <dgm:constrLst>
                      <dgm:constr type="w" for="ch" forName="child3" refType="w"/>
                      <dgm:constr type="h" for="ch" forName="child3" refType="h"/>
                      <dgm:constr type="b" for="ch" forName="child3" refType="h"/>
                      <dgm:constr type="l" for="ch" forName="child3"/>
                      <dgm:constr type="w" for="ch" forName="child3Text" refType="w" fact="0.7"/>
                      <dgm:constr type="h" for="ch" forName="child3Text" refType="h" fact="0.75"/>
                      <dgm:constr type="b" for="ch" forName="child3Text" refType="h"/>
                      <dgm:constr type="l" for="ch" forName="child3Text"/>
                    </dgm:constrLst>
                  </dgm:else>
                </dgm:choose>
                <dgm:ruleLst/>
                <dgm:layoutNode name="child3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3 1" cnt="1 0"/>
                  <dgm:constrLst/>
                  <dgm:ruleLst/>
                </dgm:layoutNode>
                <dgm:layoutNode name="child3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3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2"/>
          </dgm:choose>
          <dgm:choose name="Name23">
            <dgm:if name="Name24" axis="ch ch" ptType="node node" st="4 1" cnt="1 0" func="cnt" op="gte" val="1">
              <dgm:layoutNode name="child4group">
                <dgm:alg type="composite">
                  <dgm:param type="horzAlign" val="none"/>
                  <dgm:param type="vertAlign" val="none"/>
                </dgm:alg>
                <dgm:shape xmlns:r="http://schemas.openxmlformats.org/officeDocument/2006/relationships" r:blip="">
                  <dgm:adjLst/>
                </dgm:shape>
                <dgm:presOf/>
                <dgm:choose name="Name25">
                  <dgm:if name="Name26" func="var" arg="dir" op="equ" val="norm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l" for="ch" forName="child4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l" for="ch" forName="child4Text"/>
                    </dgm:constrLst>
                  </dgm:if>
                  <dgm:else name="Name27">
                    <dgm:constrLst>
                      <dgm:constr type="w" for="ch" forName="child4" refType="w"/>
                      <dgm:constr type="h" for="ch" forName="child4" refType="h"/>
                      <dgm:constr type="b" for="ch" forName="child4" refType="h"/>
                      <dgm:constr type="r" for="ch" forName="child4" refType="w"/>
                      <dgm:constr type="w" for="ch" forName="child4Text" refType="w" fact="0.7"/>
                      <dgm:constr type="h" for="ch" forName="child4Text" refType="h" fact="0.75"/>
                      <dgm:constr type="b" for="ch" forName="child4Text" refType="h"/>
                      <dgm:constr type="r" for="ch" forName="child4Text" refType="w"/>
                    </dgm:constrLst>
                  </dgm:else>
                </dgm:choose>
                <dgm:ruleLst/>
                <dgm:layoutNode name="child4" styleLbl="bgAcc1">
                  <dgm:alg type="sp"/>
                  <dgm:shape xmlns:r="http://schemas.openxmlformats.org/officeDocument/2006/relationships" type="roundRect" r:blip="" zOrderOff="-4">
                    <dgm:adjLst>
                      <dgm:adj idx="1" val="0.1"/>
                    </dgm:adjLst>
                  </dgm:shape>
                  <dgm:presOf axis="ch des" ptType="node node" st="4 1" cnt="1 0"/>
                  <dgm:constrLst/>
                  <dgm:ruleLst/>
                </dgm:layoutNode>
                <dgm:layoutNode name="child4Text" styleLbl="bgAcc1">
                  <dgm:varLst>
                    <dgm:bulletEnabled val="1"/>
                  </dgm:varLst>
                  <dgm:alg type="tx">
                    <dgm:param type="stBulletLvl" val="1"/>
                  </dgm:alg>
                  <dgm:shape xmlns:r="http://schemas.openxmlformats.org/officeDocument/2006/relationships" type="roundRect" r:blip="" zOrderOff="-4" hideGeom="1">
                    <dgm:adjLst>
                      <dgm:adj idx="1" val="0.1"/>
                    </dgm:adjLst>
                  </dgm:shape>
                  <dgm:presOf axis="ch des" ptType="node node" st="4 1" cnt="1 0"/>
                  <dgm:constrLst>
                    <dgm:constr type="tMarg" refType="primFontSz" fact="0.3"/>
                    <dgm:constr type="bMarg" refType="primFontSz" fact="0.3"/>
                    <dgm:constr type="lMarg" refType="primFontSz" fact="0.3"/>
                    <dgm:constr type="rMarg" refType="primFontSz" fact="0.3"/>
                  </dgm:constrLst>
                  <dgm:ruleLst>
                    <dgm:rule type="primFontSz" val="5" fact="NaN" max="NaN"/>
                  </dgm:ruleLst>
                </dgm:layoutNode>
              </dgm:layoutNode>
            </dgm:if>
            <dgm:else name="Name28"/>
          </dgm:choose>
          <dgm:layoutNode name="child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ircle">
          <dgm:alg type="composite">
            <dgm:param type="ar" val="1"/>
          </dgm:alg>
          <dgm:shape xmlns:r="http://schemas.openxmlformats.org/officeDocument/2006/relationships" r:blip="">
            <dgm:adjLst/>
          </dgm:shape>
          <dgm:presOf/>
          <dgm:choose name="Name29">
            <dgm:if name="Name30" func="var" arg="dir" op="equ" val="norm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r" for="ch" forName="quadrant1" refType="w" fact="0.5"/>
                <dgm:constr type="rOff" for="ch" forName="quadrant1" refType="w" fact="-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l" for="ch" forName="quadrant2" refType="w" fact="0.5"/>
                <dgm:constr type="lOff" for="ch" forName="quadrant2" refType="w" fact="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l" for="ch" forName="quadrant3" refType="w" fact="0.5"/>
                <dgm:constr type="lOff" for="ch" forName="quadrant3" refType="w" fact="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r" for="ch" forName="quadrant4" refType="w" fact="0.5"/>
                <dgm:constr type="rOff" for="ch" forName="quadrant4" refType="w" fact="-0.01"/>
              </dgm:constrLst>
            </dgm:if>
            <dgm:else name="Name31">
              <dgm:constrLst>
                <dgm:constr type="primFontSz" for="ch" ptType="node" op="equ" val="65"/>
                <dgm:constr type="w" for="ch" forName="quadrant1" refType="w" fact="0.433"/>
                <dgm:constr type="h" for="ch" forName="quadrant1" refType="h" fact="0.433"/>
                <dgm:constr type="b" for="ch" forName="quadrant1" refType="h" fact="0.5"/>
                <dgm:constr type="bOff" for="ch" forName="quadrant1" refType="h" fact="-0.01"/>
                <dgm:constr type="l" for="ch" forName="quadrant1" refType="w" fact="0.5"/>
                <dgm:constr type="lOff" for="ch" forName="quadrant1" refType="w" fact="0.01"/>
                <dgm:constr type="w" for="ch" forName="quadrant2" refType="w" fact="0.433"/>
                <dgm:constr type="h" for="ch" forName="quadrant2" refType="h" fact="0.433"/>
                <dgm:constr type="b" for="ch" forName="quadrant2" refType="h" fact="0.5"/>
                <dgm:constr type="bOff" for="ch" forName="quadrant2" refType="h" fact="-0.01"/>
                <dgm:constr type="r" for="ch" forName="quadrant2" refType="w" fact="0.5"/>
                <dgm:constr type="rOff" for="ch" forName="quadrant2" refType="w" fact="-0.01"/>
                <dgm:constr type="w" for="ch" forName="quadrant3" refType="w" fact="0.433"/>
                <dgm:constr type="h" for="ch" forName="quadrant3" refType="h" fact="0.433"/>
                <dgm:constr type="t" for="ch" forName="quadrant3" refType="h" fact="0.5"/>
                <dgm:constr type="tOff" for="ch" forName="quadrant3" refType="h" fact="0.01"/>
                <dgm:constr type="r" for="ch" forName="quadrant3" refType="w" fact="0.5"/>
                <dgm:constr type="rOff" for="ch" forName="quadrant3" refType="w" fact="-0.01"/>
                <dgm:constr type="w" for="ch" forName="quadrant4" refType="w" fact="0.433"/>
                <dgm:constr type="h" for="ch" forName="quadrant4" refType="h" fact="0.433"/>
                <dgm:constr type="t" for="ch" forName="quadrant4" refType="h" fact="0.5"/>
                <dgm:constr type="tOff" for="ch" forName="quadrant4" refType="h" fact="0.01"/>
                <dgm:constr type="l" for="ch" forName="quadrant4" refType="w" fact="0.5"/>
                <dgm:constr type="lOff" for="ch" forName="quadrant4" refType="w" fact="0.01"/>
              </dgm:constrLst>
            </dgm:else>
          </dgm:choose>
          <dgm:ruleLst/>
          <dgm:layoutNode name="quadrant1" styleLbl="node1">
            <dgm:varLst>
              <dgm:chMax val="1"/>
              <dgm:bulletEnabled val="1"/>
            </dgm:varLst>
            <dgm:alg type="tx"/>
            <dgm:choose name="Name32">
              <dgm:if name="Name33" func="var" arg="dir" op="equ" val="norm">
                <dgm:shape xmlns:r="http://schemas.openxmlformats.org/officeDocument/2006/relationships" type="pieWedge" r:blip="">
                  <dgm:adjLst/>
                </dgm:shape>
              </dgm:if>
              <dgm:else name="Name34">
                <dgm:shape xmlns:r="http://schemas.openxmlformats.org/officeDocument/2006/relationships" rot="90" type="pieWedge" r:blip="">
                  <dgm:adjLst/>
                </dgm:shape>
              </dgm:else>
            </dgm:choose>
            <dgm:presOf axis="ch" ptType="node" cnt="1"/>
            <dgm:constrLst/>
            <dgm:ruleLst>
              <dgm:rule type="primFontSz" val="5" fact="NaN" max="NaN"/>
            </dgm:ruleLst>
          </dgm:layoutNode>
          <dgm:layoutNode name="quadrant2" styleLbl="node1">
            <dgm:varLst>
              <dgm:chMax val="1"/>
              <dgm:bulletEnabled val="1"/>
            </dgm:varLst>
            <dgm:alg type="tx"/>
            <dgm:choose name="Name35">
              <dgm:if name="Name36" func="var" arg="dir" op="equ" val="norm">
                <dgm:shape xmlns:r="http://schemas.openxmlformats.org/officeDocument/2006/relationships" rot="90" type="pieWedge" r:blip="">
                  <dgm:adjLst/>
                </dgm:shape>
              </dgm:if>
              <dgm:else name="Name37">
                <dgm:shape xmlns:r="http://schemas.openxmlformats.org/officeDocument/2006/relationships" type="pieWedge" r:blip="">
                  <dgm:adjLst/>
                </dgm:shape>
              </dgm:else>
            </dgm:choose>
            <dgm:presOf axis="ch" ptType="node" st="2" cnt="1"/>
            <dgm:constrLst/>
            <dgm:ruleLst>
              <dgm:rule type="primFontSz" val="5" fact="NaN" max="NaN"/>
            </dgm:ruleLst>
          </dgm:layoutNode>
          <dgm:layoutNode name="quadrant3" styleLbl="node1">
            <dgm:varLst>
              <dgm:chMax val="1"/>
              <dgm:bulletEnabled val="1"/>
            </dgm:varLst>
            <dgm:alg type="tx"/>
            <dgm:choose name="Name38">
              <dgm:if name="Name39" func="var" arg="dir" op="equ" val="norm">
                <dgm:shape xmlns:r="http://schemas.openxmlformats.org/officeDocument/2006/relationships" rot="180" type="pieWedge" r:blip="">
                  <dgm:adjLst/>
                </dgm:shape>
              </dgm:if>
              <dgm:else name="Name40">
                <dgm:shape xmlns:r="http://schemas.openxmlformats.org/officeDocument/2006/relationships" rot="270" type="pieWedge" r:blip="">
                  <dgm:adjLst/>
                </dgm:shape>
              </dgm:else>
            </dgm:choose>
            <dgm:presOf axis="ch" ptType="node" st="3" cnt="1"/>
            <dgm:constrLst/>
            <dgm:ruleLst>
              <dgm:rule type="primFontSz" val="5" fact="NaN" max="NaN"/>
            </dgm:ruleLst>
          </dgm:layoutNode>
          <dgm:layoutNode name="quadrant4" styleLbl="node1">
            <dgm:varLst>
              <dgm:chMax val="1"/>
              <dgm:bulletEnabled val="1"/>
            </dgm:varLst>
            <dgm:alg type="tx"/>
            <dgm:choose name="Name41">
              <dgm:if name="Name42" func="var" arg="dir" op="equ" val="norm">
                <dgm:shape xmlns:r="http://schemas.openxmlformats.org/officeDocument/2006/relationships" rot="270" type="pieWedge" r:blip="">
                  <dgm:adjLst/>
                </dgm:shape>
              </dgm:if>
              <dgm:else name="Name43">
                <dgm:shape xmlns:r="http://schemas.openxmlformats.org/officeDocument/2006/relationships" rot="180" type="pieWedge" r:blip="">
                  <dgm:adjLst/>
                </dgm:shape>
              </dgm:else>
            </dgm:choose>
            <dgm:presOf axis="ch" ptType="node" st="4" cnt="1"/>
            <dgm:constrLst/>
            <dgm:ruleLst>
              <dgm:rule type="primFontSz" val="5" fact="NaN" max="NaN"/>
            </dgm:ruleLst>
          </dgm:layoutNode>
          <dgm:layoutNode name="quadrantPlaceholder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layoutNode name="center1" styleLbl="fgShp">
          <dgm:alg type="sp"/>
          <dgm:choose name="Name44">
            <dgm:if name="Name45" func="var" arg="dir" op="equ" val="norm">
              <dgm:shape xmlns:r="http://schemas.openxmlformats.org/officeDocument/2006/relationships" type="circularArrow" r:blip="" zOrderOff="16">
                <dgm:adjLst/>
              </dgm:shape>
            </dgm:if>
            <dgm:else name="Name46">
              <dgm:shape xmlns:r="http://schemas.openxmlformats.org/officeDocument/2006/relationships" rot="180" type="leftCircularArrow" r:blip="" zOrderOff="16">
                <dgm:adjLst/>
              </dgm:shape>
            </dgm:else>
          </dgm:choose>
          <dgm:presOf/>
          <dgm:constrLst/>
          <dgm:ruleLst/>
        </dgm:layoutNode>
        <dgm:layoutNode name="center2" styleLbl="fgShp">
          <dgm:alg type="sp"/>
          <dgm:choose name="Name47">
            <dgm:if name="Name48" func="var" arg="dir" op="equ" val="norm">
              <dgm:shape xmlns:r="http://schemas.openxmlformats.org/officeDocument/2006/relationships" rot="180" type="circularArrow" r:blip="" zOrderOff="16">
                <dgm:adjLst/>
              </dgm:shape>
            </dgm:if>
            <dgm:else name="Name49">
              <dgm:shape xmlns:r="http://schemas.openxmlformats.org/officeDocument/2006/relationships" type="leftCircularArrow" r:blip="" zOrderOff="16">
                <dgm:adjLst/>
              </dgm:shape>
            </dgm:else>
          </dgm:choose>
          <dgm:presOf/>
          <dgm:constrLst/>
          <dgm:ruleLst/>
        </dgm:layoutNode>
      </dgm:if>
      <dgm:else name="Name50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11206</xdr:rowOff>
    </xdr:from>
    <xdr:to>
      <xdr:col>12</xdr:col>
      <xdr:colOff>0</xdr:colOff>
      <xdr:row>34</xdr:row>
      <xdr:rowOff>78441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11206</xdr:rowOff>
    </xdr:from>
    <xdr:to>
      <xdr:col>12</xdr:col>
      <xdr:colOff>0</xdr:colOff>
      <xdr:row>34</xdr:row>
      <xdr:rowOff>78441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thur\Documents\02.%20Empreender%20Dinheiro\06.%20Planilhas\Ferramentas%20ED\Or&#231;amento%20Financeiro%20-%20Modelo%20Rever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thur\Documents\06.%20Investimentos\01.%20Pernambuco%20Const.%20-%20Reserva%20SL\Simula&#231;&#227;o%20Pe.Cons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&amp;Calculations"/>
      <sheetName val="Capa"/>
      <sheetName val="Calendário "/>
      <sheetName val="Orçamento Reverso"/>
      <sheetName val="ANÁLISE"/>
      <sheetName val="Análise Vertical"/>
    </sheetNames>
    <sheetDataSet>
      <sheetData sheetId="0">
        <row r="3">
          <cell r="C3" t="str">
            <v>Orçamento Financeiro Reverso</v>
          </cell>
        </row>
        <row r="6">
          <cell r="C6">
            <v>2015</v>
          </cell>
          <cell r="D6" t="str">
            <v>Janeiro</v>
          </cell>
        </row>
        <row r="7">
          <cell r="C7">
            <v>2016</v>
          </cell>
          <cell r="D7" t="str">
            <v>Fevereiro</v>
          </cell>
        </row>
        <row r="8">
          <cell r="C8">
            <v>2017</v>
          </cell>
          <cell r="D8" t="str">
            <v>Março</v>
          </cell>
        </row>
        <row r="9">
          <cell r="C9">
            <v>2018</v>
          </cell>
          <cell r="D9" t="str">
            <v>Abril</v>
          </cell>
        </row>
        <row r="10">
          <cell r="C10">
            <v>2019</v>
          </cell>
          <cell r="D10" t="str">
            <v>Maio</v>
          </cell>
        </row>
        <row r="11">
          <cell r="C11">
            <v>2020</v>
          </cell>
          <cell r="D11" t="str">
            <v>Junho</v>
          </cell>
        </row>
        <row r="12">
          <cell r="C12">
            <v>2021</v>
          </cell>
          <cell r="D12" t="str">
            <v>Julho</v>
          </cell>
        </row>
        <row r="13">
          <cell r="C13">
            <v>2022</v>
          </cell>
          <cell r="D13" t="str">
            <v>Agosto</v>
          </cell>
        </row>
        <row r="14">
          <cell r="C14">
            <v>2023</v>
          </cell>
          <cell r="D14" t="str">
            <v>Setembro</v>
          </cell>
        </row>
        <row r="15">
          <cell r="C15">
            <v>2024</v>
          </cell>
          <cell r="D15" t="str">
            <v>Outubro</v>
          </cell>
        </row>
        <row r="16">
          <cell r="C16">
            <v>2025</v>
          </cell>
          <cell r="D16" t="str">
            <v>Novembro</v>
          </cell>
        </row>
        <row r="17">
          <cell r="C17">
            <v>2026</v>
          </cell>
          <cell r="D17" t="str">
            <v>Dezembro</v>
          </cell>
        </row>
        <row r="18">
          <cell r="C18">
            <v>2027</v>
          </cell>
        </row>
        <row r="19">
          <cell r="C19">
            <v>2028</v>
          </cell>
        </row>
        <row r="20">
          <cell r="C20">
            <v>2029</v>
          </cell>
        </row>
        <row r="21">
          <cell r="C21">
            <v>2030</v>
          </cell>
        </row>
        <row r="22">
          <cell r="C22">
            <v>2031</v>
          </cell>
        </row>
        <row r="23">
          <cell r="C23">
            <v>2032</v>
          </cell>
        </row>
        <row r="24">
          <cell r="C24">
            <v>2033</v>
          </cell>
        </row>
        <row r="25">
          <cell r="C25">
            <v>2034</v>
          </cell>
        </row>
        <row r="26">
          <cell r="C26">
            <v>2035</v>
          </cell>
        </row>
        <row r="27">
          <cell r="C27">
            <v>2036</v>
          </cell>
        </row>
        <row r="28">
          <cell r="C28">
            <v>2037</v>
          </cell>
        </row>
        <row r="29">
          <cell r="C29">
            <v>2038</v>
          </cell>
        </row>
        <row r="30">
          <cell r="C30">
            <v>2039</v>
          </cell>
        </row>
        <row r="31">
          <cell r="C31">
            <v>2040</v>
          </cell>
        </row>
        <row r="32">
          <cell r="C32">
            <v>2041</v>
          </cell>
        </row>
        <row r="33">
          <cell r="C33">
            <v>2042</v>
          </cell>
        </row>
        <row r="34">
          <cell r="C34">
            <v>2043</v>
          </cell>
        </row>
        <row r="35">
          <cell r="C35">
            <v>2044</v>
          </cell>
        </row>
        <row r="36">
          <cell r="C36">
            <v>2045</v>
          </cell>
        </row>
        <row r="37">
          <cell r="C37">
            <v>2046</v>
          </cell>
        </row>
        <row r="38">
          <cell r="C38">
            <v>2047</v>
          </cell>
        </row>
        <row r="39">
          <cell r="C39">
            <v>2048</v>
          </cell>
        </row>
        <row r="40">
          <cell r="C40">
            <v>2049</v>
          </cell>
        </row>
        <row r="41">
          <cell r="C41">
            <v>2050</v>
          </cell>
        </row>
      </sheetData>
      <sheetData sheetId="1"/>
      <sheetData sheetId="2">
        <row r="8">
          <cell r="C8" t="str">
            <v>Agosto</v>
          </cell>
        </row>
        <row r="9">
          <cell r="C9">
            <v>2017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"/>
      <sheetName val="PROJ (2)"/>
      <sheetName val="Sheet1"/>
      <sheetName val="Sheet3"/>
      <sheetName val="Sheet3 (2)"/>
    </sheetNames>
    <sheetDataSet>
      <sheetData sheetId="0"/>
      <sheetData sheetId="1"/>
      <sheetData sheetId="2">
        <row r="13">
          <cell r="C13">
            <v>0.61250000000000004</v>
          </cell>
        </row>
        <row r="14">
          <cell r="C14">
            <v>0.89</v>
          </cell>
        </row>
        <row r="16">
          <cell r="C16">
            <v>120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mpreender Dinheiro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FFC000"/>
      </a:accent6>
      <a:hlink>
        <a:srgbClr val="00A1DE"/>
      </a:hlink>
      <a:folHlink>
        <a:srgbClr val="72C7E7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showRowColHeaders="0" tabSelected="1" topLeftCell="B1" zoomScale="160" zoomScaleNormal="160" workbookViewId="0">
      <selection activeCell="C7" sqref="C7"/>
    </sheetView>
  </sheetViews>
  <sheetFormatPr defaultColWidth="0" defaultRowHeight="14.25" customHeight="1" zeroHeight="1"/>
  <cols>
    <col min="1" max="1" width="8" style="1" hidden="1" customWidth="1"/>
    <col min="2" max="2" width="2.5" style="1" customWidth="1"/>
    <col min="3" max="8" width="8" style="1" customWidth="1"/>
    <col min="9" max="9" width="8" style="1" hidden="1" customWidth="1"/>
    <col min="10" max="16384" width="8" style="1" hidden="1"/>
  </cols>
  <sheetData>
    <row r="1" spans="2:8" ht="3.75" customHeight="1"/>
    <row r="2" spans="2:8" ht="14"/>
    <row r="3" spans="2:8" ht="15">
      <c r="B3" s="2"/>
      <c r="C3" s="204" t="s">
        <v>1</v>
      </c>
      <c r="D3" s="3"/>
      <c r="E3" s="2"/>
      <c r="F3" s="2"/>
      <c r="G3" s="2"/>
      <c r="H3" s="2"/>
    </row>
    <row r="4" spans="2:8" ht="14">
      <c r="B4" s="2"/>
      <c r="C4" s="205" t="s">
        <v>156</v>
      </c>
      <c r="D4" s="4"/>
      <c r="E4" s="2"/>
      <c r="F4" s="2"/>
      <c r="G4" s="2"/>
      <c r="H4" s="2"/>
    </row>
    <row r="5" spans="2:8" ht="14">
      <c r="C5" s="5"/>
      <c r="D5" s="5"/>
    </row>
    <row r="6" spans="2:8" ht="14"/>
    <row r="7" spans="2:8" ht="14"/>
    <row r="8" spans="2:8" ht="14"/>
    <row r="9" spans="2:8" ht="14"/>
    <row r="10" spans="2:8" ht="14"/>
    <row r="11" spans="2:8" ht="14"/>
    <row r="12" spans="2:8" ht="14"/>
    <row r="13" spans="2:8" ht="18" customHeight="1">
      <c r="C13" s="195" t="s">
        <v>0</v>
      </c>
      <c r="D13" s="195"/>
      <c r="E13" s="195"/>
    </row>
    <row r="14" spans="2:8" ht="14"/>
    <row r="15" spans="2:8" ht="14" hidden="1"/>
  </sheetData>
  <mergeCells count="1">
    <mergeCell ref="C13:E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AK43"/>
  <sheetViews>
    <sheetView showGridLines="0" zoomScale="85" zoomScaleNormal="85" workbookViewId="0"/>
  </sheetViews>
  <sheetFormatPr defaultColWidth="0" defaultRowHeight="12.5" zeroHeight="1" outlineLevelRow="1"/>
  <cols>
    <col min="1" max="1" width="1.6640625" style="38" customWidth="1"/>
    <col min="2" max="2" width="28" style="38" customWidth="1"/>
    <col min="3" max="3" width="12.5" style="38" customWidth="1"/>
    <col min="4" max="4" width="12.1640625" style="38" bestFit="1" customWidth="1"/>
    <col min="5" max="6" width="11.5" style="38" customWidth="1"/>
    <col min="7" max="7" width="11.1640625" style="38" customWidth="1"/>
    <col min="8" max="10" width="9.5" style="38" bestFit="1" customWidth="1"/>
    <col min="11" max="11" width="12.5" style="38" customWidth="1"/>
    <col min="12" max="12" width="11.5" style="38" customWidth="1"/>
    <col min="13" max="26" width="9.5" style="38" bestFit="1" customWidth="1"/>
    <col min="27" max="27" width="11.5" style="38" bestFit="1" customWidth="1"/>
    <col min="28" max="28" width="3.83203125" style="38" customWidth="1"/>
    <col min="29" max="37" width="9.33203125" style="38" hidden="1" customWidth="1"/>
    <col min="38" max="16384" width="9" style="38" hidden="1"/>
  </cols>
  <sheetData>
    <row r="1" spans="1:9" customFormat="1" ht="14"/>
    <row r="2" spans="1:9" customFormat="1" ht="15.5">
      <c r="B2" s="8" t="s">
        <v>94</v>
      </c>
      <c r="C2" s="6"/>
      <c r="D2" s="6"/>
      <c r="E2" s="6"/>
      <c r="F2" s="6"/>
      <c r="G2" s="6"/>
      <c r="H2" s="6"/>
      <c r="I2" s="6"/>
    </row>
    <row r="3" spans="1:9" customFormat="1" ht="14">
      <c r="B3" s="7" t="str">
        <f>Capa!C3</f>
        <v>Roteiro Lucrativo para Decisões Imobiliárias</v>
      </c>
      <c r="C3" s="6"/>
      <c r="D3" s="6"/>
      <c r="E3" s="6"/>
      <c r="F3" s="6"/>
      <c r="G3" s="6"/>
      <c r="H3" s="6"/>
      <c r="I3" s="6"/>
    </row>
    <row r="4" spans="1:9" customFormat="1" ht="14"/>
    <row r="5" spans="1:9" ht="16" customHeight="1">
      <c r="A5" s="38" t="s">
        <v>42</v>
      </c>
      <c r="B5" s="136" t="s">
        <v>95</v>
      </c>
      <c r="C5" s="137"/>
      <c r="D5" s="137"/>
      <c r="E5" s="137"/>
    </row>
    <row r="6" spans="1:9" ht="8.25" customHeight="1"/>
    <row r="7" spans="1:9" ht="16" customHeight="1" outlineLevel="1">
      <c r="B7" s="129" t="s">
        <v>73</v>
      </c>
      <c r="C7" s="127"/>
      <c r="D7" s="106">
        <v>500000</v>
      </c>
    </row>
    <row r="8" spans="1:9" ht="16" customHeight="1" outlineLevel="1">
      <c r="B8" s="129" t="s">
        <v>8</v>
      </c>
      <c r="C8" s="127"/>
      <c r="D8" s="106">
        <f>-E8*D7</f>
        <v>-25000</v>
      </c>
      <c r="E8" s="131">
        <v>0.05</v>
      </c>
    </row>
    <row r="9" spans="1:9" ht="16" customHeight="1" outlineLevel="1">
      <c r="B9" s="129" t="s">
        <v>96</v>
      </c>
      <c r="C9" s="127"/>
      <c r="D9" s="106">
        <v>-800</v>
      </c>
      <c r="E9" s="132">
        <v>24</v>
      </c>
    </row>
    <row r="10" spans="1:9" ht="16" customHeight="1" outlineLevel="1">
      <c r="B10" s="128" t="s">
        <v>98</v>
      </c>
      <c r="C10" s="127"/>
      <c r="D10" s="106">
        <f>D9*E9</f>
        <v>-19200</v>
      </c>
      <c r="E10" s="133"/>
    </row>
    <row r="11" spans="1:9" ht="16" customHeight="1" outlineLevel="1">
      <c r="B11" s="129" t="s">
        <v>97</v>
      </c>
      <c r="C11" s="127"/>
      <c r="D11" s="106">
        <f>-10000</f>
        <v>-10000</v>
      </c>
      <c r="E11" s="134">
        <f>E9/6</f>
        <v>4</v>
      </c>
    </row>
    <row r="12" spans="1:9" ht="16" customHeight="1" outlineLevel="1">
      <c r="B12" s="128" t="s">
        <v>98</v>
      </c>
      <c r="C12" s="127"/>
      <c r="D12" s="106">
        <f>D11*E11</f>
        <v>-40000</v>
      </c>
      <c r="E12" s="133"/>
    </row>
    <row r="13" spans="1:9" ht="16" customHeight="1" outlineLevel="1">
      <c r="B13" s="129" t="s">
        <v>49</v>
      </c>
      <c r="C13" s="127"/>
      <c r="D13" s="106">
        <f>D11</f>
        <v>-10000</v>
      </c>
      <c r="E13" s="133"/>
    </row>
    <row r="14" spans="1:9" ht="4.5" customHeight="1" outlineLevel="1">
      <c r="B14" s="129"/>
      <c r="C14" s="127"/>
      <c r="D14" s="106"/>
      <c r="E14" s="133"/>
    </row>
    <row r="15" spans="1:9" ht="16" customHeight="1" outlineLevel="1">
      <c r="B15" s="129" t="s">
        <v>47</v>
      </c>
      <c r="C15" s="127"/>
      <c r="D15" s="130">
        <v>4.0000000000000001E-3</v>
      </c>
      <c r="E15" s="135" t="s">
        <v>99</v>
      </c>
    </row>
    <row r="16" spans="1:9" ht="16" customHeight="1" outlineLevel="1">
      <c r="B16" s="157" t="s">
        <v>105</v>
      </c>
      <c r="C16" s="158"/>
      <c r="D16" s="163">
        <f>-SUM(D8,D10,D12,D13)</f>
        <v>94200</v>
      </c>
      <c r="E16" s="159"/>
    </row>
    <row r="17" spans="2:27" ht="16" customHeight="1" outlineLevel="1">
      <c r="B17" s="160" t="s">
        <v>101</v>
      </c>
      <c r="C17" s="161"/>
      <c r="D17" s="164">
        <f>D7-D16</f>
        <v>405800</v>
      </c>
      <c r="E17" s="162"/>
    </row>
    <row r="18" spans="2:27" ht="16" customHeight="1"/>
    <row r="19" spans="2:27" ht="13">
      <c r="B19" s="138" t="s">
        <v>43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</row>
    <row r="20" spans="2:27" ht="13">
      <c r="B20" s="138" t="s">
        <v>44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</row>
    <row r="21" spans="2:27" ht="7.5" customHeight="1"/>
    <row r="22" spans="2:27" ht="13">
      <c r="B22" s="63" t="s">
        <v>45</v>
      </c>
      <c r="C22" s="140" t="s">
        <v>92</v>
      </c>
      <c r="D22" s="141">
        <v>1</v>
      </c>
      <c r="E22" s="141">
        <f>D22+1</f>
        <v>2</v>
      </c>
      <c r="F22" s="141">
        <f t="shared" ref="F22:AA22" si="0">E22+1</f>
        <v>3</v>
      </c>
      <c r="G22" s="141">
        <f t="shared" si="0"/>
        <v>4</v>
      </c>
      <c r="H22" s="141">
        <f t="shared" si="0"/>
        <v>5</v>
      </c>
      <c r="I22" s="141">
        <f t="shared" si="0"/>
        <v>6</v>
      </c>
      <c r="J22" s="141">
        <f t="shared" si="0"/>
        <v>7</v>
      </c>
      <c r="K22" s="141">
        <f t="shared" si="0"/>
        <v>8</v>
      </c>
      <c r="L22" s="141">
        <f t="shared" si="0"/>
        <v>9</v>
      </c>
      <c r="M22" s="141">
        <f t="shared" si="0"/>
        <v>10</v>
      </c>
      <c r="N22" s="141">
        <f t="shared" si="0"/>
        <v>11</v>
      </c>
      <c r="O22" s="141">
        <f t="shared" ref="O22" si="1">N22+1</f>
        <v>12</v>
      </c>
      <c r="P22" s="141">
        <f t="shared" ref="P22" si="2">O22+1</f>
        <v>13</v>
      </c>
      <c r="Q22" s="141">
        <f t="shared" ref="Q22" si="3">P22+1</f>
        <v>14</v>
      </c>
      <c r="R22" s="141">
        <f t="shared" ref="R22" si="4">Q22+1</f>
        <v>15</v>
      </c>
      <c r="S22" s="141">
        <f t="shared" ref="S22" si="5">R22+1</f>
        <v>16</v>
      </c>
      <c r="T22" s="141">
        <f t="shared" ref="T22" si="6">S22+1</f>
        <v>17</v>
      </c>
      <c r="U22" s="141">
        <f t="shared" ref="U22" si="7">T22+1</f>
        <v>18</v>
      </c>
      <c r="V22" s="141">
        <f t="shared" si="0"/>
        <v>19</v>
      </c>
      <c r="W22" s="141">
        <f t="shared" si="0"/>
        <v>20</v>
      </c>
      <c r="X22" s="141">
        <f t="shared" si="0"/>
        <v>21</v>
      </c>
      <c r="Y22" s="141">
        <f t="shared" si="0"/>
        <v>22</v>
      </c>
      <c r="Z22" s="141">
        <f t="shared" si="0"/>
        <v>23</v>
      </c>
      <c r="AA22" s="141">
        <f t="shared" si="0"/>
        <v>24</v>
      </c>
    </row>
    <row r="23" spans="2:27" ht="4.5" customHeight="1"/>
    <row r="24" spans="2:27">
      <c r="B24" s="38" t="s">
        <v>8</v>
      </c>
      <c r="C24" s="39">
        <f>D8</f>
        <v>-25000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2:27">
      <c r="B25" s="38" t="s">
        <v>46</v>
      </c>
      <c r="C25" s="39" t="s">
        <v>11</v>
      </c>
      <c r="D25" s="39">
        <f>D9</f>
        <v>-800</v>
      </c>
      <c r="E25" s="39">
        <f t="shared" ref="E25:AA25" si="8">D25*(1+D26)</f>
        <v>-803.2</v>
      </c>
      <c r="F25" s="39">
        <f t="shared" si="8"/>
        <v>-806.41280000000006</v>
      </c>
      <c r="G25" s="39">
        <f t="shared" si="8"/>
        <v>-809.63845120000008</v>
      </c>
      <c r="H25" s="39">
        <f t="shared" si="8"/>
        <v>-812.87700500480003</v>
      </c>
      <c r="I25" s="39">
        <f t="shared" si="8"/>
        <v>-816.1285130248192</v>
      </c>
      <c r="J25" s="39">
        <f t="shared" si="8"/>
        <v>-819.39302707691843</v>
      </c>
      <c r="K25" s="39">
        <f t="shared" si="8"/>
        <v>-822.67059918522614</v>
      </c>
      <c r="L25" s="39">
        <f t="shared" si="8"/>
        <v>-825.961281581967</v>
      </c>
      <c r="M25" s="39">
        <f t="shared" si="8"/>
        <v>-829.26512670829482</v>
      </c>
      <c r="N25" s="39">
        <f t="shared" si="8"/>
        <v>-832.58218721512799</v>
      </c>
      <c r="O25" s="39">
        <f t="shared" ref="O25" si="9">N25*(1+N26)</f>
        <v>-835.91251596398854</v>
      </c>
      <c r="P25" s="39">
        <f t="shared" ref="P25" si="10">O25*(1+O26)</f>
        <v>-839.25616602784453</v>
      </c>
      <c r="Q25" s="39">
        <f t="shared" ref="Q25" si="11">P25*(1+P26)</f>
        <v>-842.61319069195588</v>
      </c>
      <c r="R25" s="39">
        <f t="shared" ref="R25" si="12">Q25*(1+Q26)</f>
        <v>-845.98364345472373</v>
      </c>
      <c r="S25" s="39">
        <f t="shared" ref="S25" si="13">R25*(1+R26)</f>
        <v>-849.36757802854265</v>
      </c>
      <c r="T25" s="39">
        <f t="shared" ref="T25" si="14">S25*(1+S26)</f>
        <v>-852.76504834065679</v>
      </c>
      <c r="U25" s="39">
        <f t="shared" ref="U25" si="15">T25*(1+T26)</f>
        <v>-856.17610853401948</v>
      </c>
      <c r="V25" s="39">
        <f t="shared" si="8"/>
        <v>-859.60081296815554</v>
      </c>
      <c r="W25" s="39">
        <f t="shared" si="8"/>
        <v>-863.03921622002815</v>
      </c>
      <c r="X25" s="39">
        <f t="shared" si="8"/>
        <v>-866.49137308490822</v>
      </c>
      <c r="Y25" s="39">
        <f t="shared" si="8"/>
        <v>-869.95733857724781</v>
      </c>
      <c r="Z25" s="39">
        <f t="shared" si="8"/>
        <v>-873.43716793155681</v>
      </c>
      <c r="AA25" s="39">
        <f t="shared" si="8"/>
        <v>-876.93091660328309</v>
      </c>
    </row>
    <row r="26" spans="2:27" s="40" customFormat="1" ht="11.25" customHeight="1">
      <c r="B26" s="41" t="s">
        <v>47</v>
      </c>
      <c r="C26" s="142" t="s">
        <v>11</v>
      </c>
      <c r="D26" s="142">
        <f>$D$15</f>
        <v>4.0000000000000001E-3</v>
      </c>
      <c r="E26" s="142">
        <f>D26</f>
        <v>4.0000000000000001E-3</v>
      </c>
      <c r="F26" s="142">
        <f t="shared" ref="F26:AA26" si="16">E26</f>
        <v>4.0000000000000001E-3</v>
      </c>
      <c r="G26" s="142">
        <f t="shared" si="16"/>
        <v>4.0000000000000001E-3</v>
      </c>
      <c r="H26" s="142">
        <f t="shared" si="16"/>
        <v>4.0000000000000001E-3</v>
      </c>
      <c r="I26" s="142">
        <f t="shared" si="16"/>
        <v>4.0000000000000001E-3</v>
      </c>
      <c r="J26" s="142">
        <f t="shared" si="16"/>
        <v>4.0000000000000001E-3</v>
      </c>
      <c r="K26" s="142">
        <f t="shared" si="16"/>
        <v>4.0000000000000001E-3</v>
      </c>
      <c r="L26" s="142">
        <f t="shared" si="16"/>
        <v>4.0000000000000001E-3</v>
      </c>
      <c r="M26" s="142">
        <f t="shared" si="16"/>
        <v>4.0000000000000001E-3</v>
      </c>
      <c r="N26" s="142">
        <f t="shared" si="16"/>
        <v>4.0000000000000001E-3</v>
      </c>
      <c r="O26" s="142">
        <f t="shared" si="16"/>
        <v>4.0000000000000001E-3</v>
      </c>
      <c r="P26" s="142">
        <f t="shared" si="16"/>
        <v>4.0000000000000001E-3</v>
      </c>
      <c r="Q26" s="142">
        <f t="shared" si="16"/>
        <v>4.0000000000000001E-3</v>
      </c>
      <c r="R26" s="142">
        <f t="shared" si="16"/>
        <v>4.0000000000000001E-3</v>
      </c>
      <c r="S26" s="142">
        <f t="shared" si="16"/>
        <v>4.0000000000000001E-3</v>
      </c>
      <c r="T26" s="142">
        <f t="shared" si="16"/>
        <v>4.0000000000000001E-3</v>
      </c>
      <c r="U26" s="142">
        <f t="shared" si="16"/>
        <v>4.0000000000000001E-3</v>
      </c>
      <c r="V26" s="142">
        <f t="shared" si="16"/>
        <v>4.0000000000000001E-3</v>
      </c>
      <c r="W26" s="142">
        <f t="shared" si="16"/>
        <v>4.0000000000000001E-3</v>
      </c>
      <c r="X26" s="142">
        <f t="shared" si="16"/>
        <v>4.0000000000000001E-3</v>
      </c>
      <c r="Y26" s="142">
        <f t="shared" si="16"/>
        <v>4.0000000000000001E-3</v>
      </c>
      <c r="Z26" s="142">
        <f t="shared" si="16"/>
        <v>4.0000000000000001E-3</v>
      </c>
      <c r="AA26" s="142">
        <f t="shared" si="16"/>
        <v>4.0000000000000001E-3</v>
      </c>
    </row>
    <row r="27" spans="2:27" ht="13">
      <c r="B27" s="38" t="s">
        <v>48</v>
      </c>
      <c r="C27" s="42">
        <f>D11</f>
        <v>-10000</v>
      </c>
      <c r="D27" s="42">
        <f t="shared" ref="D27:U27" si="17">C27*(1+D$26)</f>
        <v>-10040</v>
      </c>
      <c r="E27" s="42">
        <f t="shared" si="17"/>
        <v>-10080.16</v>
      </c>
      <c r="F27" s="42">
        <f t="shared" si="17"/>
        <v>-10120.48064</v>
      </c>
      <c r="G27" s="42">
        <f t="shared" si="17"/>
        <v>-10160.96256256</v>
      </c>
      <c r="H27" s="42">
        <f t="shared" si="17"/>
        <v>-10201.606412810241</v>
      </c>
      <c r="I27" s="145">
        <f t="shared" si="17"/>
        <v>-10242.412838461481</v>
      </c>
      <c r="J27" s="42">
        <f t="shared" si="17"/>
        <v>-10283.382489815327</v>
      </c>
      <c r="K27" s="42">
        <f t="shared" si="17"/>
        <v>-10324.516019774588</v>
      </c>
      <c r="L27" s="42">
        <f t="shared" si="17"/>
        <v>-10365.814083853687</v>
      </c>
      <c r="M27" s="42">
        <f t="shared" si="17"/>
        <v>-10407.277340189103</v>
      </c>
      <c r="N27" s="42">
        <f t="shared" si="17"/>
        <v>-10448.906449549859</v>
      </c>
      <c r="O27" s="145">
        <f t="shared" si="17"/>
        <v>-10490.702075348057</v>
      </c>
      <c r="P27" s="39">
        <f t="shared" si="17"/>
        <v>-10532.66488364945</v>
      </c>
      <c r="Q27" s="39">
        <f t="shared" si="17"/>
        <v>-10574.795543184047</v>
      </c>
      <c r="R27" s="39">
        <f t="shared" si="17"/>
        <v>-10617.094725356783</v>
      </c>
      <c r="S27" s="39">
        <f t="shared" si="17"/>
        <v>-10659.56310425821</v>
      </c>
      <c r="T27" s="39">
        <f t="shared" si="17"/>
        <v>-10702.201356675243</v>
      </c>
      <c r="U27" s="145">
        <f t="shared" si="17"/>
        <v>-10745.010162101944</v>
      </c>
      <c r="V27" s="39">
        <f t="shared" ref="V27" si="18">U27*(1+V$26)</f>
        <v>-10787.990202750352</v>
      </c>
      <c r="W27" s="39">
        <f t="shared" ref="W27" si="19">V27*(1+W$26)</f>
        <v>-10831.142163561353</v>
      </c>
      <c r="X27" s="39">
        <f t="shared" ref="X27" si="20">W27*(1+X$26)</f>
        <v>-10874.466732215598</v>
      </c>
      <c r="Y27" s="39">
        <f t="shared" ref="Y27" si="21">X27*(1+Y$26)</f>
        <v>-10917.964599144461</v>
      </c>
      <c r="Z27" s="39">
        <f t="shared" ref="Z27:AA27" si="22">Y27*(1+Z$26)</f>
        <v>-10961.636457541039</v>
      </c>
      <c r="AA27" s="145">
        <f t="shared" si="22"/>
        <v>-11005.483003371202</v>
      </c>
    </row>
    <row r="28" spans="2:27" ht="13">
      <c r="B28" s="38" t="s">
        <v>49</v>
      </c>
      <c r="C28" s="42">
        <f>D13</f>
        <v>-10000</v>
      </c>
      <c r="D28" s="42">
        <f t="shared" ref="D28:U28" si="23">C28*(1+D$26)</f>
        <v>-10040</v>
      </c>
      <c r="E28" s="42">
        <f t="shared" si="23"/>
        <v>-10080.16</v>
      </c>
      <c r="F28" s="42">
        <f t="shared" si="23"/>
        <v>-10120.48064</v>
      </c>
      <c r="G28" s="42">
        <f t="shared" si="23"/>
        <v>-10160.96256256</v>
      </c>
      <c r="H28" s="42">
        <f t="shared" si="23"/>
        <v>-10201.606412810241</v>
      </c>
      <c r="I28" s="42">
        <f t="shared" si="23"/>
        <v>-10242.412838461481</v>
      </c>
      <c r="J28" s="42">
        <f t="shared" si="23"/>
        <v>-10283.382489815327</v>
      </c>
      <c r="K28" s="42">
        <f t="shared" si="23"/>
        <v>-10324.516019774588</v>
      </c>
      <c r="L28" s="42">
        <f t="shared" si="23"/>
        <v>-10365.814083853687</v>
      </c>
      <c r="M28" s="42">
        <f t="shared" si="23"/>
        <v>-10407.277340189103</v>
      </c>
      <c r="N28" s="42">
        <f t="shared" si="23"/>
        <v>-10448.906449549859</v>
      </c>
      <c r="O28" s="42">
        <f t="shared" si="23"/>
        <v>-10490.702075348057</v>
      </c>
      <c r="P28" s="42">
        <f t="shared" si="23"/>
        <v>-10532.66488364945</v>
      </c>
      <c r="Q28" s="42">
        <f t="shared" si="23"/>
        <v>-10574.795543184047</v>
      </c>
      <c r="R28" s="42">
        <f t="shared" si="23"/>
        <v>-10617.094725356783</v>
      </c>
      <c r="S28" s="42">
        <f t="shared" si="23"/>
        <v>-10659.56310425821</v>
      </c>
      <c r="T28" s="42">
        <f t="shared" si="23"/>
        <v>-10702.201356675243</v>
      </c>
      <c r="U28" s="42">
        <f t="shared" si="23"/>
        <v>-10745.010162101944</v>
      </c>
      <c r="V28" s="42">
        <f t="shared" ref="V28:AA28" si="24">U28*(1+V$26)</f>
        <v>-10787.990202750352</v>
      </c>
      <c r="W28" s="42">
        <f t="shared" si="24"/>
        <v>-10831.142163561353</v>
      </c>
      <c r="X28" s="42">
        <f t="shared" si="24"/>
        <v>-10874.466732215598</v>
      </c>
      <c r="Y28" s="42">
        <f t="shared" si="24"/>
        <v>-10917.964599144461</v>
      </c>
      <c r="Z28" s="42">
        <f t="shared" si="24"/>
        <v>-10961.636457541039</v>
      </c>
      <c r="AA28" s="145">
        <f t="shared" si="24"/>
        <v>-11005.483003371202</v>
      </c>
    </row>
    <row r="29" spans="2:27" ht="4.5" customHeight="1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2:27" ht="20.25" customHeight="1">
      <c r="B30" s="144" t="s">
        <v>50</v>
      </c>
      <c r="C30" s="143">
        <f>SUM(C24,C25)</f>
        <v>-25000</v>
      </c>
      <c r="D30" s="143">
        <f t="shared" ref="D30:Z30" si="25">SUM(D24,D25)</f>
        <v>-800</v>
      </c>
      <c r="E30" s="143">
        <f t="shared" si="25"/>
        <v>-803.2</v>
      </c>
      <c r="F30" s="143">
        <f t="shared" si="25"/>
        <v>-806.41280000000006</v>
      </c>
      <c r="G30" s="143">
        <f t="shared" si="25"/>
        <v>-809.63845120000008</v>
      </c>
      <c r="H30" s="143">
        <f t="shared" si="25"/>
        <v>-812.87700500480003</v>
      </c>
      <c r="I30" s="143">
        <f>SUM(I24,I25,I27)</f>
        <v>-11058.541351486301</v>
      </c>
      <c r="J30" s="143">
        <f t="shared" si="25"/>
        <v>-819.39302707691843</v>
      </c>
      <c r="K30" s="143">
        <f t="shared" si="25"/>
        <v>-822.67059918522614</v>
      </c>
      <c r="L30" s="143">
        <f t="shared" si="25"/>
        <v>-825.961281581967</v>
      </c>
      <c r="M30" s="143">
        <f t="shared" si="25"/>
        <v>-829.26512670829482</v>
      </c>
      <c r="N30" s="143">
        <f t="shared" si="25"/>
        <v>-832.58218721512799</v>
      </c>
      <c r="O30" s="143">
        <f>SUM(O24,O25,O27)</f>
        <v>-11326.614591312045</v>
      </c>
      <c r="P30" s="143">
        <f t="shared" si="25"/>
        <v>-839.25616602784453</v>
      </c>
      <c r="Q30" s="143">
        <f t="shared" si="25"/>
        <v>-842.61319069195588</v>
      </c>
      <c r="R30" s="143">
        <f t="shared" si="25"/>
        <v>-845.98364345472373</v>
      </c>
      <c r="S30" s="143">
        <f t="shared" si="25"/>
        <v>-849.36757802854265</v>
      </c>
      <c r="T30" s="143">
        <f t="shared" si="25"/>
        <v>-852.76504834065679</v>
      </c>
      <c r="U30" s="143">
        <f>SUM(U24,U25,U27)</f>
        <v>-11601.186270635964</v>
      </c>
      <c r="V30" s="143">
        <f t="shared" si="25"/>
        <v>-859.60081296815554</v>
      </c>
      <c r="W30" s="143">
        <f t="shared" si="25"/>
        <v>-863.03921622002815</v>
      </c>
      <c r="X30" s="143">
        <f t="shared" si="25"/>
        <v>-866.49137308490822</v>
      </c>
      <c r="Y30" s="143">
        <f t="shared" si="25"/>
        <v>-869.95733857724781</v>
      </c>
      <c r="Z30" s="143">
        <f t="shared" si="25"/>
        <v>-873.43716793155681</v>
      </c>
      <c r="AA30" s="143">
        <f>SUM(AA24,AA25,AA27,AA28)</f>
        <v>-22887.896923345688</v>
      </c>
    </row>
    <row r="31" spans="2:27" ht="4.5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2:27" ht="12.75" customHeight="1">
      <c r="B32" s="45" t="s">
        <v>51</v>
      </c>
      <c r="C32" s="39"/>
      <c r="D32" s="39">
        <f>-C30*(1+D33)</f>
        <v>25184.030029673882</v>
      </c>
      <c r="E32" s="39">
        <f>(D32-D30)*(1+E33)</f>
        <v>26175.303702370198</v>
      </c>
      <c r="F32" s="39">
        <f t="shared" ref="F32:AA32" si="26">(E32-E30)*(1+F33)</f>
        <v>27177.097895846364</v>
      </c>
      <c r="G32" s="39">
        <f t="shared" si="26"/>
        <v>28189.502947995807</v>
      </c>
      <c r="H32" s="39">
        <f t="shared" si="26"/>
        <v>29212.60991328425</v>
      </c>
      <c r="I32" s="39">
        <f t="shared" si="26"/>
        <v>30246.510568230871</v>
      </c>
      <c r="J32" s="39">
        <f t="shared" si="26"/>
        <v>41609.106716935843</v>
      </c>
      <c r="K32" s="39">
        <f t="shared" si="26"/>
        <v>42740.824466689119</v>
      </c>
      <c r="L32" s="39">
        <f t="shared" si="26"/>
        <v>43884.174717461181</v>
      </c>
      <c r="M32" s="39">
        <f t="shared" si="26"/>
        <v>45039.256305228235</v>
      </c>
      <c r="N32" s="39">
        <f t="shared" si="26"/>
        <v>46206.168846345186</v>
      </c>
      <c r="O32" s="39">
        <f t="shared" si="26"/>
        <v>47385.012743501451</v>
      </c>
      <c r="P32" s="39">
        <f t="shared" si="26"/>
        <v>59143.815435638608</v>
      </c>
      <c r="Q32" s="39">
        <f t="shared" si="26"/>
        <v>60424.619059537865</v>
      </c>
      <c r="R32" s="39">
        <f t="shared" si="26"/>
        <v>61718.232672991675</v>
      </c>
      <c r="S32" s="39">
        <f t="shared" si="26"/>
        <v>63024.764099855951</v>
      </c>
      <c r="T32" s="39">
        <f t="shared" si="26"/>
        <v>64344.322011807475</v>
      </c>
      <c r="U32" s="39">
        <f t="shared" si="26"/>
        <v>65677.015934801311</v>
      </c>
      <c r="V32" s="39">
        <f t="shared" si="26"/>
        <v>77847.062599237717</v>
      </c>
      <c r="W32" s="39">
        <f t="shared" si="26"/>
        <v>79286.038996337098</v>
      </c>
      <c r="X32" s="39">
        <f t="shared" si="26"/>
        <v>80739.071702228772</v>
      </c>
      <c r="Y32" s="39">
        <f t="shared" si="26"/>
        <v>82206.278043085826</v>
      </c>
      <c r="Z32" s="39">
        <f t="shared" si="26"/>
        <v>83687.776264162356</v>
      </c>
      <c r="AA32" s="39">
        <f t="shared" si="26"/>
        <v>85183.685536780613</v>
      </c>
    </row>
    <row r="33" spans="1:27" s="148" customFormat="1" ht="11.25" customHeight="1">
      <c r="B33" s="146" t="s">
        <v>100</v>
      </c>
      <c r="C33" s="147" t="s">
        <v>11</v>
      </c>
      <c r="D33" s="147">
        <f>(1+Premissas!C17)^(1/12)-1</f>
        <v>7.3612011869552685E-3</v>
      </c>
      <c r="E33" s="147">
        <f>$D$33</f>
        <v>7.3612011869552685E-3</v>
      </c>
      <c r="F33" s="147">
        <f t="shared" ref="F33:AA33" si="27">$D$33</f>
        <v>7.3612011869552685E-3</v>
      </c>
      <c r="G33" s="147">
        <f t="shared" si="27"/>
        <v>7.3612011869552685E-3</v>
      </c>
      <c r="H33" s="147">
        <f t="shared" si="27"/>
        <v>7.3612011869552685E-3</v>
      </c>
      <c r="I33" s="147">
        <f t="shared" si="27"/>
        <v>7.3612011869552685E-3</v>
      </c>
      <c r="J33" s="147">
        <f t="shared" si="27"/>
        <v>7.3612011869552685E-3</v>
      </c>
      <c r="K33" s="147">
        <f t="shared" si="27"/>
        <v>7.3612011869552685E-3</v>
      </c>
      <c r="L33" s="147">
        <f t="shared" si="27"/>
        <v>7.3612011869552685E-3</v>
      </c>
      <c r="M33" s="147">
        <f t="shared" si="27"/>
        <v>7.3612011869552685E-3</v>
      </c>
      <c r="N33" s="147">
        <f t="shared" si="27"/>
        <v>7.3612011869552685E-3</v>
      </c>
      <c r="O33" s="147">
        <f t="shared" si="27"/>
        <v>7.3612011869552685E-3</v>
      </c>
      <c r="P33" s="147">
        <f t="shared" si="27"/>
        <v>7.3612011869552685E-3</v>
      </c>
      <c r="Q33" s="147">
        <f t="shared" si="27"/>
        <v>7.3612011869552685E-3</v>
      </c>
      <c r="R33" s="147">
        <f t="shared" si="27"/>
        <v>7.3612011869552685E-3</v>
      </c>
      <c r="S33" s="147">
        <f t="shared" si="27"/>
        <v>7.3612011869552685E-3</v>
      </c>
      <c r="T33" s="147">
        <f t="shared" si="27"/>
        <v>7.3612011869552685E-3</v>
      </c>
      <c r="U33" s="147">
        <f t="shared" si="27"/>
        <v>7.3612011869552685E-3</v>
      </c>
      <c r="V33" s="147">
        <f t="shared" si="27"/>
        <v>7.3612011869552685E-3</v>
      </c>
      <c r="W33" s="147">
        <f t="shared" si="27"/>
        <v>7.3612011869552685E-3</v>
      </c>
      <c r="X33" s="147">
        <f t="shared" si="27"/>
        <v>7.3612011869552685E-3</v>
      </c>
      <c r="Y33" s="147">
        <f t="shared" si="27"/>
        <v>7.3612011869552685E-3</v>
      </c>
      <c r="Z33" s="147">
        <f t="shared" si="27"/>
        <v>7.3612011869552685E-3</v>
      </c>
      <c r="AA33" s="147">
        <f t="shared" si="27"/>
        <v>7.3612011869552685E-3</v>
      </c>
    </row>
    <row r="34" spans="1:27" ht="12.75" customHeight="1">
      <c r="B34" s="4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12.75" customHeight="1">
      <c r="A35" s="43"/>
      <c r="B35" s="150" t="s">
        <v>104</v>
      </c>
      <c r="C35" s="153">
        <f>D17</f>
        <v>405800</v>
      </c>
      <c r="D35" s="153">
        <f>C35*(1+D26)</f>
        <v>407423.2</v>
      </c>
      <c r="E35" s="153">
        <f t="shared" ref="E35:AA35" si="28">D35*(1+E26)</f>
        <v>409052.89280000003</v>
      </c>
      <c r="F35" s="153">
        <f t="shared" si="28"/>
        <v>410689.10437120002</v>
      </c>
      <c r="G35" s="153">
        <f t="shared" si="28"/>
        <v>412331.8607886848</v>
      </c>
      <c r="H35" s="153">
        <f t="shared" si="28"/>
        <v>413981.18823183957</v>
      </c>
      <c r="I35" s="153">
        <f t="shared" si="28"/>
        <v>415637.11298476695</v>
      </c>
      <c r="J35" s="153">
        <f t="shared" si="28"/>
        <v>417299.66143670602</v>
      </c>
      <c r="K35" s="153">
        <f t="shared" si="28"/>
        <v>418968.86008245283</v>
      </c>
      <c r="L35" s="153">
        <f t="shared" si="28"/>
        <v>420644.73552278266</v>
      </c>
      <c r="M35" s="153">
        <f t="shared" si="28"/>
        <v>422327.31446487381</v>
      </c>
      <c r="N35" s="153">
        <f t="shared" si="28"/>
        <v>424016.62372273329</v>
      </c>
      <c r="O35" s="153">
        <f t="shared" ref="O35" si="29">N35*(1+O26)</f>
        <v>425712.69021762424</v>
      </c>
      <c r="P35" s="153">
        <f t="shared" ref="P35" si="30">O35*(1+P26)</f>
        <v>427415.54097849474</v>
      </c>
      <c r="Q35" s="153">
        <f t="shared" ref="Q35" si="31">P35*(1+Q26)</f>
        <v>429125.20314240875</v>
      </c>
      <c r="R35" s="153">
        <f t="shared" ref="R35" si="32">Q35*(1+R26)</f>
        <v>430841.70395497838</v>
      </c>
      <c r="S35" s="153">
        <f t="shared" ref="S35" si="33">R35*(1+S26)</f>
        <v>432565.07077079831</v>
      </c>
      <c r="T35" s="153">
        <f t="shared" ref="T35" si="34">S35*(1+T26)</f>
        <v>434295.3310538815</v>
      </c>
      <c r="U35" s="153">
        <f t="shared" ref="U35" si="35">T35*(1+U26)</f>
        <v>436032.51237809705</v>
      </c>
      <c r="V35" s="153">
        <f t="shared" si="28"/>
        <v>437776.64242760942</v>
      </c>
      <c r="W35" s="153">
        <f t="shared" si="28"/>
        <v>439527.74899731984</v>
      </c>
      <c r="X35" s="153">
        <f t="shared" si="28"/>
        <v>441285.85999330913</v>
      </c>
      <c r="Y35" s="153">
        <f t="shared" si="28"/>
        <v>443051.00343328237</v>
      </c>
      <c r="Z35" s="153">
        <f t="shared" si="28"/>
        <v>444823.20744701551</v>
      </c>
      <c r="AA35" s="152">
        <f t="shared" si="28"/>
        <v>446602.50027680356</v>
      </c>
    </row>
    <row r="36" spans="1:27" ht="8.25" customHeight="1"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18.75" customHeight="1">
      <c r="B37" s="150" t="s">
        <v>103</v>
      </c>
      <c r="C37" s="151" t="s">
        <v>106</v>
      </c>
      <c r="D37" s="151" t="s">
        <v>107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s="155" customFormat="1" ht="20.25" customHeight="1">
      <c r="B38" s="149" t="s">
        <v>102</v>
      </c>
      <c r="C38" s="154">
        <f>SUM(C30:AA30)</f>
        <v>-98598.751150077951</v>
      </c>
      <c r="D38" s="166">
        <f>C38+D16</f>
        <v>-4398.751150077951</v>
      </c>
    </row>
    <row r="39" spans="1:27" s="155" customFormat="1" ht="20.25" customHeight="1">
      <c r="B39" s="149" t="s">
        <v>108</v>
      </c>
      <c r="C39" s="154">
        <f>-SD</f>
        <v>-446602.50027680356</v>
      </c>
      <c r="D39" s="166">
        <f>C39+D17</f>
        <v>-40802.500276803563</v>
      </c>
    </row>
    <row r="40" spans="1:27" s="155" customFormat="1" ht="20.25" customHeight="1">
      <c r="B40" s="149" t="s">
        <v>52</v>
      </c>
      <c r="C40" s="154">
        <f>AA32+SUM(C30:AA30)</f>
        <v>-13415.065613297338</v>
      </c>
      <c r="D40" s="165" t="s">
        <v>11</v>
      </c>
      <c r="AA40" s="156"/>
    </row>
    <row r="41" spans="1:27" ht="7.5" customHeight="1"/>
    <row r="42" spans="1:27" ht="7.5" customHeight="1"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</row>
    <row r="43" spans="1:27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8"/>
  <sheetViews>
    <sheetView showGridLines="0" zoomScale="115" zoomScaleNormal="115" workbookViewId="0"/>
  </sheetViews>
  <sheetFormatPr defaultColWidth="0" defaultRowHeight="14.25" customHeight="1" zeroHeight="1"/>
  <cols>
    <col min="1" max="1" width="2.1640625" customWidth="1"/>
    <col min="2" max="2" width="4.1640625" customWidth="1"/>
    <col min="3" max="9" width="9" customWidth="1"/>
    <col min="10" max="13" width="0" hidden="1" customWidth="1"/>
    <col min="14" max="16384" width="9" hidden="1"/>
  </cols>
  <sheetData>
    <row r="1" spans="2:8" ht="14"/>
    <row r="2" spans="2:8" ht="15.5">
      <c r="B2" s="8" t="s">
        <v>155</v>
      </c>
      <c r="C2" s="6"/>
      <c r="D2" s="6"/>
      <c r="E2" s="6"/>
      <c r="F2" s="6"/>
      <c r="G2" s="6"/>
      <c r="H2" s="6"/>
    </row>
    <row r="3" spans="2:8" ht="14">
      <c r="B3" s="7" t="str">
        <f>Capa!C3</f>
        <v>Roteiro Lucrativo para Decisões Imobiliárias</v>
      </c>
      <c r="C3" s="6"/>
      <c r="D3" s="6"/>
      <c r="E3" s="6"/>
      <c r="F3" s="6"/>
      <c r="G3" s="6"/>
      <c r="H3" s="6"/>
    </row>
    <row r="4" spans="2:8" ht="14"/>
    <row r="5" spans="2:8" ht="14">
      <c r="B5" s="10" t="s">
        <v>109</v>
      </c>
    </row>
    <row r="6" spans="2:8" ht="14"/>
    <row r="7" spans="2:8" ht="14">
      <c r="B7" s="167">
        <v>1</v>
      </c>
      <c r="C7" t="s">
        <v>113</v>
      </c>
    </row>
    <row r="8" spans="2:8" ht="14">
      <c r="B8" s="167">
        <f>B7+1</f>
        <v>2</v>
      </c>
      <c r="C8" t="s">
        <v>112</v>
      </c>
    </row>
    <row r="9" spans="2:8" ht="14">
      <c r="B9" s="167">
        <f t="shared" ref="B9:B15" si="0">B8+1</f>
        <v>3</v>
      </c>
      <c r="C9" t="s">
        <v>111</v>
      </c>
    </row>
    <row r="10" spans="2:8" ht="14">
      <c r="B10" s="167">
        <f t="shared" si="0"/>
        <v>4</v>
      </c>
      <c r="C10" t="s">
        <v>110</v>
      </c>
    </row>
    <row r="11" spans="2:8" ht="14">
      <c r="B11" s="167">
        <f t="shared" si="0"/>
        <v>5</v>
      </c>
      <c r="C11" t="s">
        <v>114</v>
      </c>
    </row>
    <row r="12" spans="2:8" ht="14">
      <c r="B12" s="167">
        <f t="shared" si="0"/>
        <v>6</v>
      </c>
      <c r="C12" t="s">
        <v>115</v>
      </c>
    </row>
    <row r="13" spans="2:8" ht="14">
      <c r="B13" s="167">
        <f t="shared" si="0"/>
        <v>7</v>
      </c>
      <c r="C13" t="s">
        <v>116</v>
      </c>
    </row>
    <row r="14" spans="2:8" ht="14">
      <c r="B14" s="167">
        <f t="shared" si="0"/>
        <v>8</v>
      </c>
      <c r="C14" t="s">
        <v>117</v>
      </c>
    </row>
    <row r="15" spans="2:8" ht="14">
      <c r="B15" s="167">
        <f t="shared" si="0"/>
        <v>9</v>
      </c>
      <c r="C15" t="s">
        <v>118</v>
      </c>
    </row>
    <row r="16" spans="2:8" ht="4.5" customHeight="1">
      <c r="B16" s="167"/>
    </row>
    <row r="17" spans="2:8" ht="4.5" customHeight="1">
      <c r="B17" s="168"/>
      <c r="C17" s="9"/>
      <c r="D17" s="9"/>
      <c r="E17" s="9"/>
      <c r="F17" s="9"/>
      <c r="G17" s="9"/>
      <c r="H17" s="9"/>
    </row>
    <row r="18" spans="2:8" ht="14">
      <c r="B18" s="167"/>
    </row>
    <row r="19" spans="2:8" ht="14" hidden="1">
      <c r="B19" s="167"/>
    </row>
    <row r="20" spans="2:8" ht="14" hidden="1"/>
    <row r="21" spans="2:8" ht="14" hidden="1"/>
    <row r="22" spans="2:8" ht="14" hidden="1"/>
    <row r="23" spans="2:8" ht="14" hidden="1"/>
    <row r="24" spans="2:8" ht="14" hidden="1"/>
    <row r="25" spans="2:8" ht="14" hidden="1"/>
    <row r="26" spans="2:8" ht="14" hidden="1"/>
    <row r="27" spans="2:8" ht="14" hidden="1"/>
    <row r="28" spans="2:8" ht="14" hidden="1"/>
    <row r="29" spans="2:8" ht="14" hidden="1"/>
    <row r="30" spans="2:8" ht="14" hidden="1"/>
    <row r="31" spans="2:8" ht="14" hidden="1"/>
    <row r="32" spans="2:8" ht="14" hidden="1"/>
    <row r="33" spans="2:8" ht="14" hidden="1"/>
    <row r="34" spans="2:8" ht="14" hidden="1"/>
    <row r="35" spans="2:8" ht="14" hidden="1"/>
    <row r="36" spans="2:8" ht="14" hidden="1"/>
    <row r="37" spans="2:8" ht="14" hidden="1">
      <c r="B37" s="9"/>
      <c r="C37" s="9"/>
      <c r="D37" s="9"/>
      <c r="E37" s="9"/>
      <c r="F37" s="9"/>
      <c r="G37" s="9"/>
      <c r="H37" s="9"/>
    </row>
    <row r="38" spans="2:8" ht="4.5" hidden="1" customHeight="1"/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showGridLines="0" zoomScale="55" zoomScaleNormal="55" workbookViewId="0">
      <selection activeCell="M38" sqref="M38"/>
    </sheetView>
  </sheetViews>
  <sheetFormatPr defaultColWidth="0" defaultRowHeight="14" zeroHeight="1"/>
  <cols>
    <col min="1" max="1" width="3.1640625" customWidth="1"/>
    <col min="2" max="13" width="9" customWidth="1"/>
    <col min="14" max="16384" width="9" hidden="1"/>
  </cols>
  <sheetData>
    <row r="1" spans="2:12"/>
    <row r="2" spans="2:12" ht="15.5">
      <c r="B2" s="8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7" t="str">
        <f>Capa!C3</f>
        <v>Roteiro Lucrativo para Decisões Imobiliárias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/>
    <row r="5" spans="2:12"/>
    <row r="6" spans="2:12"/>
    <row r="7" spans="2:12"/>
    <row r="8" spans="2:12"/>
    <row r="9" spans="2:12"/>
    <row r="10" spans="2:12"/>
    <row r="11" spans="2:12"/>
    <row r="12" spans="2:12"/>
    <row r="13" spans="2:12"/>
    <row r="14" spans="2:12"/>
    <row r="15" spans="2:12"/>
    <row r="16" spans="2:12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spans="2:12"/>
    <row r="34" spans="2:12"/>
    <row r="35" spans="2:12"/>
    <row r="36" spans="2:12"/>
    <row r="37" spans="2:1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2:12" ht="4.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showGridLines="0" zoomScale="55" zoomScaleNormal="55" workbookViewId="0"/>
  </sheetViews>
  <sheetFormatPr defaultColWidth="0" defaultRowHeight="14.25" customHeight="1" zeroHeight="1"/>
  <cols>
    <col min="1" max="1" width="3.1640625" customWidth="1"/>
    <col min="2" max="13" width="9" customWidth="1"/>
    <col min="14" max="16384" width="9" hidden="1"/>
  </cols>
  <sheetData>
    <row r="1" spans="2:12" ht="14"/>
    <row r="2" spans="2:12" ht="15.5">
      <c r="B2" s="8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4">
      <c r="B3" s="7" t="str">
        <f>Capa!C3</f>
        <v>Roteiro Lucrativo para Decisões Imobiliárias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 ht="14"/>
    <row r="5" spans="2:12" ht="14"/>
    <row r="6" spans="2:12" ht="14"/>
    <row r="7" spans="2:12" ht="14"/>
    <row r="8" spans="2:12" ht="14"/>
    <row r="9" spans="2:12" ht="14"/>
    <row r="10" spans="2:12" ht="14"/>
    <row r="11" spans="2:12" ht="14"/>
    <row r="12" spans="2:12" ht="14"/>
    <row r="13" spans="2:12" ht="14"/>
    <row r="14" spans="2:12" ht="14"/>
    <row r="15" spans="2:12" ht="14"/>
    <row r="16" spans="2:12" ht="14"/>
    <row r="17" ht="14"/>
    <row r="18" ht="14"/>
    <row r="19" ht="14"/>
    <row r="20" ht="14"/>
    <row r="21" ht="14"/>
    <row r="22" ht="14"/>
    <row r="23" ht="14"/>
    <row r="24" ht="14"/>
    <row r="25" ht="14"/>
    <row r="26" ht="14"/>
    <row r="27" ht="14"/>
    <row r="28" ht="14"/>
    <row r="29" ht="14"/>
    <row r="30" ht="14"/>
    <row r="31" ht="14"/>
    <row r="32" ht="14"/>
    <row r="33" spans="2:12" ht="14"/>
    <row r="34" spans="2:12" ht="14"/>
    <row r="35" spans="2:12" ht="14"/>
    <row r="36" spans="2:12" ht="14"/>
    <row r="37" spans="2:12" ht="14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2:12" ht="4.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showGridLines="0" zoomScale="85" zoomScaleNormal="85" workbookViewId="0"/>
  </sheetViews>
  <sheetFormatPr defaultColWidth="0" defaultRowHeight="0" customHeight="1" zeroHeight="1"/>
  <cols>
    <col min="1" max="1" width="3.1640625" customWidth="1"/>
    <col min="2" max="2" width="31.33203125" customWidth="1"/>
    <col min="3" max="3" width="12.6640625" customWidth="1"/>
    <col min="4" max="4" width="4" customWidth="1"/>
    <col min="5" max="5" width="33.83203125" bestFit="1" customWidth="1"/>
    <col min="6" max="6" width="14.33203125" customWidth="1"/>
    <col min="7" max="7" width="9" customWidth="1"/>
    <col min="8" max="13" width="0" hidden="1" customWidth="1"/>
    <col min="14" max="16384" width="9" hidden="1"/>
  </cols>
  <sheetData>
    <row r="1" spans="2:6" ht="14"/>
    <row r="2" spans="2:6" ht="15.5">
      <c r="B2" s="8" t="s">
        <v>119</v>
      </c>
      <c r="C2" s="6"/>
      <c r="D2" s="6"/>
      <c r="E2" s="6"/>
      <c r="F2" s="6"/>
    </row>
    <row r="3" spans="2:6" ht="14">
      <c r="B3" s="7" t="str">
        <f>Capa!C3</f>
        <v>Roteiro Lucrativo para Decisões Imobiliárias</v>
      </c>
      <c r="C3" s="6"/>
      <c r="D3" s="6"/>
      <c r="E3" s="6"/>
      <c r="F3" s="6"/>
    </row>
    <row r="4" spans="2:6" ht="25.5" customHeight="1"/>
    <row r="5" spans="2:6" ht="4.5" customHeight="1"/>
    <row r="6" spans="2:6" ht="18">
      <c r="B6" s="171" t="s">
        <v>120</v>
      </c>
      <c r="C6" s="172"/>
      <c r="D6" s="173"/>
      <c r="E6" s="171" t="s">
        <v>121</v>
      </c>
      <c r="F6" s="172"/>
    </row>
    <row r="7" spans="2:6" ht="6" customHeight="1">
      <c r="B7" s="174"/>
      <c r="C7" s="174"/>
      <c r="D7" s="174"/>
      <c r="E7" s="174"/>
      <c r="F7" s="174"/>
    </row>
    <row r="8" spans="2:6" ht="17.5">
      <c r="B8" s="179" t="s">
        <v>122</v>
      </c>
      <c r="C8" s="175">
        <v>0</v>
      </c>
      <c r="D8" s="173"/>
      <c r="E8" s="179" t="s">
        <v>132</v>
      </c>
      <c r="F8" s="176">
        <v>0</v>
      </c>
    </row>
    <row r="9" spans="2:6" ht="17.5">
      <c r="B9" s="179" t="s">
        <v>139</v>
      </c>
      <c r="C9" s="175">
        <v>0</v>
      </c>
      <c r="D9" s="173"/>
      <c r="E9" s="179" t="s">
        <v>133</v>
      </c>
      <c r="F9" s="176">
        <v>0</v>
      </c>
    </row>
    <row r="10" spans="2:6" ht="17.5">
      <c r="B10" s="179" t="s">
        <v>138</v>
      </c>
      <c r="C10" s="175">
        <v>0</v>
      </c>
      <c r="D10" s="173"/>
      <c r="E10" s="179" t="s">
        <v>131</v>
      </c>
      <c r="F10" s="176">
        <v>0</v>
      </c>
    </row>
    <row r="11" spans="2:6" ht="17.5">
      <c r="B11" s="179" t="s">
        <v>130</v>
      </c>
      <c r="C11" s="175">
        <v>0</v>
      </c>
      <c r="D11" s="173"/>
      <c r="E11" s="179" t="s">
        <v>134</v>
      </c>
      <c r="F11" s="176">
        <v>0</v>
      </c>
    </row>
    <row r="12" spans="2:6" ht="17.5">
      <c r="B12" s="179" t="s">
        <v>123</v>
      </c>
      <c r="C12" s="175">
        <v>0</v>
      </c>
      <c r="D12" s="173"/>
      <c r="E12" s="179" t="s">
        <v>124</v>
      </c>
      <c r="F12" s="176">
        <v>0</v>
      </c>
    </row>
    <row r="13" spans="2:6" ht="17.5">
      <c r="B13" s="179" t="s">
        <v>125</v>
      </c>
      <c r="C13" s="175">
        <v>0</v>
      </c>
      <c r="D13" s="173"/>
      <c r="E13" s="179" t="s">
        <v>126</v>
      </c>
      <c r="F13" s="176">
        <v>0</v>
      </c>
    </row>
    <row r="14" spans="2:6" ht="17.5">
      <c r="B14" s="179" t="s">
        <v>127</v>
      </c>
      <c r="C14" s="175">
        <v>0</v>
      </c>
      <c r="D14" s="173"/>
      <c r="E14" s="179" t="s">
        <v>140</v>
      </c>
      <c r="F14" s="176">
        <v>0</v>
      </c>
    </row>
    <row r="15" spans="2:6" ht="17.5">
      <c r="B15" s="173"/>
      <c r="C15" s="175"/>
      <c r="D15" s="173"/>
      <c r="E15" s="173"/>
      <c r="F15" s="176"/>
    </row>
    <row r="16" spans="2:6" ht="18">
      <c r="B16" s="180" t="s">
        <v>128</v>
      </c>
      <c r="C16" s="181">
        <f>SUM(C8:C14)</f>
        <v>0</v>
      </c>
      <c r="D16" s="182"/>
      <c r="E16" s="180" t="s">
        <v>129</v>
      </c>
      <c r="F16" s="181">
        <f>SUM(F8:F14)</f>
        <v>0</v>
      </c>
    </row>
    <row r="17" spans="2:6" ht="14">
      <c r="B17" s="174"/>
      <c r="C17" s="174"/>
      <c r="D17" s="174"/>
      <c r="E17" s="174"/>
      <c r="F17" s="174"/>
    </row>
    <row r="18" spans="2:6" ht="22.5" customHeight="1">
      <c r="B18" s="174"/>
      <c r="C18" s="174"/>
      <c r="D18" s="174"/>
      <c r="E18" s="177" t="s">
        <v>135</v>
      </c>
      <c r="F18" s="169">
        <f>C16-F16</f>
        <v>0</v>
      </c>
    </row>
    <row r="19" spans="2:6" ht="4.5" customHeight="1">
      <c r="B19" s="174"/>
      <c r="C19" s="174"/>
      <c r="D19" s="174"/>
      <c r="E19" s="174"/>
      <c r="F19" s="174"/>
    </row>
    <row r="20" spans="2:6" ht="22.5" customHeight="1">
      <c r="B20" s="174"/>
      <c r="C20" s="174"/>
      <c r="D20" s="174"/>
      <c r="E20" s="178" t="s">
        <v>136</v>
      </c>
      <c r="F20" s="170">
        <f>C12+C13+C14+C11</f>
        <v>0</v>
      </c>
    </row>
    <row r="21" spans="2:6" ht="22.5" customHeight="1">
      <c r="B21" s="174"/>
      <c r="C21" s="174"/>
      <c r="D21" s="174"/>
      <c r="E21" s="178" t="s">
        <v>137</v>
      </c>
      <c r="F21" s="170">
        <f>F18-F20</f>
        <v>0</v>
      </c>
    </row>
    <row r="22" spans="2:6" ht="4.5" customHeight="1"/>
    <row r="23" spans="2:6" ht="4.5" customHeight="1">
      <c r="B23" s="6"/>
      <c r="C23" s="6"/>
      <c r="D23" s="6"/>
      <c r="E23" s="6"/>
      <c r="F23" s="6"/>
    </row>
    <row r="24" spans="2:6" ht="14"/>
    <row r="25" spans="2:6" ht="14" hidden="1"/>
    <row r="26" spans="2:6" ht="14" hidden="1"/>
    <row r="27" spans="2:6" ht="14" hidden="1"/>
    <row r="28" spans="2:6" ht="14" hidden="1"/>
    <row r="29" spans="2:6" ht="14" hidden="1"/>
    <row r="30" spans="2:6" ht="14" hidden="1"/>
    <row r="31" spans="2:6" ht="14" hidden="1"/>
    <row r="32" spans="2:6" ht="14" hidden="1"/>
    <row r="33" spans="2:6" ht="14" hidden="1"/>
    <row r="34" spans="2:6" ht="14" hidden="1"/>
    <row r="35" spans="2:6" ht="14" hidden="1"/>
    <row r="36" spans="2:6" ht="14" hidden="1"/>
    <row r="37" spans="2:6" ht="14" hidden="1">
      <c r="B37" s="9"/>
      <c r="C37" s="9"/>
      <c r="D37" s="9"/>
      <c r="E37" s="9"/>
      <c r="F37" s="9"/>
    </row>
    <row r="38" spans="2:6" ht="4.5" hidden="1" customHeigh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B1:H15"/>
  <sheetViews>
    <sheetView showGridLines="0" showRowColHeaders="0" topLeftCell="B1" zoomScale="145" zoomScaleNormal="145" workbookViewId="0">
      <selection activeCell="B1" sqref="B1"/>
    </sheetView>
  </sheetViews>
  <sheetFormatPr defaultColWidth="0" defaultRowHeight="14.25" customHeight="1" zeroHeight="1"/>
  <cols>
    <col min="1" max="1" width="8" style="1" hidden="1" customWidth="1"/>
    <col min="2" max="2" width="2.5" style="1" customWidth="1"/>
    <col min="3" max="8" width="8" style="1" customWidth="1"/>
    <col min="9" max="9" width="8" style="1" hidden="1" customWidth="1"/>
    <col min="10" max="16384" width="8" style="1" hidden="1"/>
  </cols>
  <sheetData>
    <row r="1" spans="2:8" ht="3.75" customHeight="1"/>
    <row r="2" spans="2:8" ht="14"/>
    <row r="3" spans="2:8" ht="15">
      <c r="B3" s="2"/>
      <c r="C3" s="3" t="s">
        <v>37</v>
      </c>
      <c r="D3" s="3"/>
      <c r="E3" s="2"/>
      <c r="F3" s="2"/>
      <c r="G3" s="2"/>
      <c r="H3" s="2"/>
    </row>
    <row r="4" spans="2:8" ht="14">
      <c r="B4" s="2"/>
      <c r="C4" s="4" t="s">
        <v>38</v>
      </c>
      <c r="D4" s="4"/>
      <c r="E4" s="2"/>
      <c r="F4" s="2"/>
      <c r="G4" s="2"/>
      <c r="H4" s="2"/>
    </row>
    <row r="5" spans="2:8" ht="14">
      <c r="C5" s="5"/>
      <c r="D5" s="5"/>
    </row>
    <row r="6" spans="2:8" ht="14">
      <c r="C6" s="36" t="s">
        <v>39</v>
      </c>
    </row>
    <row r="7" spans="2:8" ht="14">
      <c r="C7" s="37"/>
    </row>
    <row r="8" spans="2:8" ht="14"/>
    <row r="9" spans="2:8" ht="14"/>
    <row r="10" spans="2:8" ht="14"/>
    <row r="11" spans="2:8" ht="14"/>
    <row r="12" spans="2:8" ht="14"/>
    <row r="13" spans="2:8" ht="18" customHeight="1">
      <c r="C13" s="195"/>
      <c r="D13" s="195"/>
      <c r="E13" s="195"/>
    </row>
    <row r="14" spans="2:8" ht="14"/>
    <row r="15" spans="2:8" ht="14" hidden="1"/>
  </sheetData>
  <mergeCells count="1">
    <mergeCell ref="C13:E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P35"/>
  <sheetViews>
    <sheetView showGridLines="0" zoomScale="70" zoomScaleNormal="70" workbookViewId="0"/>
  </sheetViews>
  <sheetFormatPr defaultColWidth="0" defaultRowHeight="14" zeroHeight="1"/>
  <cols>
    <col min="1" max="1" width="5.83203125" customWidth="1"/>
    <col min="2" max="2" width="27" customWidth="1"/>
    <col min="3" max="3" width="11.1640625" style="12" customWidth="1"/>
    <col min="4" max="4" width="52.33203125" style="15" customWidth="1"/>
    <col min="5" max="5" width="3.5" customWidth="1"/>
    <col min="6" max="7" width="9" hidden="1" customWidth="1"/>
    <col min="8" max="16" width="0" hidden="1" customWidth="1"/>
    <col min="17" max="16384" width="9" hidden="1"/>
  </cols>
  <sheetData>
    <row r="1" spans="1:4"/>
    <row r="2" spans="1:4" ht="29.5">
      <c r="B2" s="183" t="s">
        <v>4</v>
      </c>
    </row>
    <row r="3" spans="1:4" ht="4.5" customHeight="1">
      <c r="B3" s="9"/>
      <c r="C3" s="13"/>
      <c r="D3" s="16"/>
    </row>
    <row r="4" spans="1:4" ht="4.5" customHeight="1"/>
    <row r="5" spans="1:4" ht="4.5" customHeight="1"/>
    <row r="6" spans="1:4" ht="15.5">
      <c r="B6" s="8" t="s">
        <v>5</v>
      </c>
      <c r="C6" s="14"/>
      <c r="D6" s="17"/>
    </row>
    <row r="7" spans="1:4">
      <c r="B7" s="7" t="str">
        <f>Capa!C3</f>
        <v>Roteiro Lucrativo para Decisões Imobiliárias</v>
      </c>
      <c r="C7" s="14"/>
      <c r="D7" s="17"/>
    </row>
    <row r="8" spans="1:4"/>
    <row r="9" spans="1:4">
      <c r="B9" s="30" t="s">
        <v>6</v>
      </c>
      <c r="C9" s="31" t="s">
        <v>7</v>
      </c>
      <c r="D9" s="32" t="s">
        <v>10</v>
      </c>
    </row>
    <row r="10" spans="1:4" ht="4.5" customHeight="1"/>
    <row r="11" spans="1:4" s="18" customFormat="1" ht="21.75" customHeight="1">
      <c r="A11" s="201">
        <v>1</v>
      </c>
      <c r="B11" s="26" t="s">
        <v>16</v>
      </c>
      <c r="C11" s="25">
        <v>500000</v>
      </c>
      <c r="D11" s="86" t="s">
        <v>154</v>
      </c>
    </row>
    <row r="12" spans="1:4" s="18" customFormat="1" ht="21.75" customHeight="1">
      <c r="A12" s="201">
        <f>A11+1</f>
        <v>2</v>
      </c>
      <c r="B12" s="27" t="s">
        <v>15</v>
      </c>
      <c r="C12" s="21">
        <v>5.0000000000000001E-3</v>
      </c>
      <c r="D12" s="33" t="s">
        <v>12</v>
      </c>
    </row>
    <row r="13" spans="1:4" s="18" customFormat="1" ht="21.75" customHeight="1">
      <c r="A13" s="201">
        <f>A12+1</f>
        <v>3</v>
      </c>
      <c r="B13" s="27" t="s">
        <v>14</v>
      </c>
      <c r="C13" s="21">
        <v>4.0000000000000001E-3</v>
      </c>
      <c r="D13" s="33" t="s">
        <v>11</v>
      </c>
    </row>
    <row r="14" spans="1:4" s="18" customFormat="1" ht="21.75" customHeight="1">
      <c r="A14" s="11"/>
      <c r="B14" s="27"/>
      <c r="C14" s="25">
        <f>VLR_IMÓVEL*C13</f>
        <v>2000</v>
      </c>
      <c r="D14" s="33" t="s">
        <v>13</v>
      </c>
    </row>
    <row r="15" spans="1:4" s="18" customFormat="1" ht="21.75" customHeight="1">
      <c r="A15" s="11">
        <f>A13+1</f>
        <v>4</v>
      </c>
      <c r="B15" s="27" t="s">
        <v>17</v>
      </c>
      <c r="C15" s="21">
        <v>0.05</v>
      </c>
      <c r="D15" s="33" t="s">
        <v>11</v>
      </c>
    </row>
    <row r="16" spans="1:4" s="18" customFormat="1" ht="21.75" customHeight="1">
      <c r="A16" s="11">
        <f>A15+1</f>
        <v>5</v>
      </c>
      <c r="B16" s="27" t="s">
        <v>19</v>
      </c>
      <c r="C16" s="21">
        <v>0.04</v>
      </c>
      <c r="D16" s="33" t="s">
        <v>20</v>
      </c>
    </row>
    <row r="17" spans="1:4" s="18" customFormat="1" ht="21.75" customHeight="1">
      <c r="A17" s="11">
        <f>A16+1</f>
        <v>6</v>
      </c>
      <c r="B17" s="28" t="s">
        <v>18</v>
      </c>
      <c r="C17" s="24">
        <f>(1+C15)*(1+C16)-1</f>
        <v>9.2000000000000082E-2</v>
      </c>
      <c r="D17" s="34" t="s">
        <v>21</v>
      </c>
    </row>
    <row r="18" spans="1:4" s="18" customFormat="1" ht="21.75" customHeight="1">
      <c r="A18" s="11"/>
      <c r="D18" s="20"/>
    </row>
    <row r="19" spans="1:4">
      <c r="B19" s="30" t="s">
        <v>22</v>
      </c>
      <c r="C19" s="31" t="s">
        <v>7</v>
      </c>
      <c r="D19" s="32" t="s">
        <v>10</v>
      </c>
    </row>
    <row r="20" spans="1:4" ht="4.5" customHeight="1"/>
    <row r="21" spans="1:4" s="18" customFormat="1" ht="21.75" customHeight="1">
      <c r="A21" s="11">
        <f>A18+1</f>
        <v>1</v>
      </c>
      <c r="B21" s="27" t="s">
        <v>23</v>
      </c>
      <c r="C21" s="23">
        <v>0.2</v>
      </c>
      <c r="D21" s="33" t="s">
        <v>24</v>
      </c>
    </row>
    <row r="22" spans="1:4" s="18" customFormat="1" ht="21.75" customHeight="1">
      <c r="A22" s="11"/>
      <c r="B22" s="27"/>
      <c r="C22" s="19">
        <f>C21*VLR_IMÓVEL</f>
        <v>100000</v>
      </c>
      <c r="D22" s="33" t="s">
        <v>153</v>
      </c>
    </row>
    <row r="23" spans="1:4" s="18" customFormat="1" ht="21.75" customHeight="1">
      <c r="A23" s="11">
        <f>A21+1</f>
        <v>2</v>
      </c>
      <c r="B23" s="27" t="s">
        <v>25</v>
      </c>
      <c r="C23" s="22">
        <f>30*12</f>
        <v>360</v>
      </c>
      <c r="D23" s="33" t="s">
        <v>26</v>
      </c>
    </row>
    <row r="24" spans="1:4" s="18" customFormat="1" ht="21.75" customHeight="1">
      <c r="A24" s="11">
        <f t="shared" ref="A24:A26" si="0">A23+1</f>
        <v>3</v>
      </c>
      <c r="B24" s="27" t="s">
        <v>27</v>
      </c>
      <c r="C24" s="19">
        <f>VLR_IMÓVEL-C22</f>
        <v>400000</v>
      </c>
      <c r="D24" s="33" t="s">
        <v>11</v>
      </c>
    </row>
    <row r="25" spans="1:4" s="18" customFormat="1" ht="21.75" customHeight="1">
      <c r="A25" s="11">
        <f t="shared" si="0"/>
        <v>4</v>
      </c>
      <c r="B25" s="27" t="s">
        <v>28</v>
      </c>
      <c r="C25" s="21">
        <v>0.1</v>
      </c>
      <c r="D25" s="33" t="s">
        <v>29</v>
      </c>
    </row>
    <row r="26" spans="1:4" ht="21.75" customHeight="1">
      <c r="A26" s="11">
        <f t="shared" si="0"/>
        <v>5</v>
      </c>
      <c r="B26" s="27" t="s">
        <v>33</v>
      </c>
      <c r="C26" s="21">
        <v>1.4999999999999999E-2</v>
      </c>
      <c r="D26" s="33" t="s">
        <v>30</v>
      </c>
    </row>
    <row r="27" spans="1:4" ht="21.75" customHeight="1">
      <c r="B27" s="29" t="s">
        <v>31</v>
      </c>
      <c r="D27" s="35"/>
    </row>
    <row r="28" spans="1:4" ht="21.75" customHeight="1">
      <c r="A28" s="11">
        <f>A26+1</f>
        <v>6</v>
      </c>
      <c r="B28" s="27" t="s">
        <v>32</v>
      </c>
      <c r="C28" s="21">
        <v>1E-3</v>
      </c>
      <c r="D28" s="33" t="s">
        <v>36</v>
      </c>
    </row>
    <row r="29" spans="1:4" ht="21.75" customHeight="1">
      <c r="A29" s="11"/>
      <c r="B29" s="27"/>
      <c r="C29" s="19">
        <f>C28*VLR_IMÓVEL</f>
        <v>500</v>
      </c>
      <c r="D29" s="202"/>
    </row>
    <row r="30" spans="1:4" ht="21.75" customHeight="1">
      <c r="A30" s="11">
        <f>A28+1</f>
        <v>7</v>
      </c>
      <c r="B30" s="27" t="s">
        <v>34</v>
      </c>
      <c r="C30" s="21">
        <v>5.9999999999999995E-4</v>
      </c>
      <c r="D30" s="202" t="s">
        <v>11</v>
      </c>
    </row>
    <row r="31" spans="1:4" ht="21.75" customHeight="1">
      <c r="A31" s="11">
        <f t="shared" ref="A31" si="1">A30+1</f>
        <v>8</v>
      </c>
      <c r="B31" s="27" t="s">
        <v>35</v>
      </c>
      <c r="C31" s="21">
        <v>2E-3</v>
      </c>
      <c r="D31" s="202" t="s">
        <v>71</v>
      </c>
    </row>
    <row r="32" spans="1:4" ht="21.75" customHeight="1">
      <c r="A32" s="11"/>
      <c r="B32" s="27"/>
      <c r="C32" s="19">
        <f>C31*C24</f>
        <v>800</v>
      </c>
      <c r="D32" s="202"/>
    </row>
    <row r="33" spans="2:4" ht="4.5" customHeight="1"/>
    <row r="34" spans="2:4" ht="4.5" customHeight="1">
      <c r="B34" s="9"/>
      <c r="C34" s="13"/>
      <c r="D34" s="16"/>
    </row>
    <row r="35" spans="2:4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N423"/>
  <sheetViews>
    <sheetView showGridLines="0" zoomScale="70" zoomScaleNormal="70" workbookViewId="0"/>
  </sheetViews>
  <sheetFormatPr defaultColWidth="0" defaultRowHeight="14" zeroHeight="1" outlineLevelRow="1"/>
  <cols>
    <col min="1" max="1" width="4.83203125" customWidth="1"/>
    <col min="2" max="2" width="38.6640625" bestFit="1" customWidth="1"/>
    <col min="3" max="3" width="12.33203125" customWidth="1"/>
    <col min="4" max="9" width="11.33203125" customWidth="1"/>
    <col min="10" max="10" width="3.5" customWidth="1"/>
    <col min="11" max="14" width="3.5" hidden="1" customWidth="1"/>
    <col min="15" max="16384" width="9" hidden="1"/>
  </cols>
  <sheetData>
    <row r="1" spans="2:9"/>
    <row r="2" spans="2:9" ht="15.5">
      <c r="B2" s="8" t="s">
        <v>63</v>
      </c>
      <c r="C2" s="6"/>
      <c r="D2" s="6"/>
      <c r="E2" s="6"/>
      <c r="F2" s="6"/>
      <c r="G2" s="6"/>
      <c r="H2" s="6"/>
      <c r="I2" s="6"/>
    </row>
    <row r="3" spans="2:9">
      <c r="B3" s="7" t="str">
        <f>Capa!C3</f>
        <v>Roteiro Lucrativo para Decisões Imobiliárias</v>
      </c>
      <c r="C3" s="6"/>
      <c r="D3" s="6"/>
      <c r="E3" s="6"/>
      <c r="F3" s="6"/>
      <c r="G3" s="6"/>
      <c r="H3" s="6"/>
      <c r="I3" s="6"/>
    </row>
    <row r="4" spans="2:9"/>
    <row r="5" spans="2:9" s="38" customFormat="1" ht="16.5" customHeight="1">
      <c r="B5" s="46" t="s">
        <v>53</v>
      </c>
      <c r="C5" s="59">
        <f>Premissas!C23</f>
        <v>360</v>
      </c>
    </row>
    <row r="6" spans="2:9" s="38" customFormat="1" ht="8.25" customHeight="1"/>
    <row r="7" spans="2:9" s="38" customFormat="1" ht="12.5">
      <c r="B7" s="38" t="s">
        <v>9</v>
      </c>
      <c r="C7" s="184">
        <f>Premissas!C24</f>
        <v>400000</v>
      </c>
    </row>
    <row r="8" spans="2:9" s="38" customFormat="1" ht="12.5">
      <c r="B8" s="38" t="s">
        <v>54</v>
      </c>
      <c r="C8" s="185">
        <f>Premissas!C25</f>
        <v>0.1</v>
      </c>
    </row>
    <row r="9" spans="2:9" s="38" customFormat="1" ht="13">
      <c r="B9" s="63" t="s">
        <v>64</v>
      </c>
      <c r="C9" s="186">
        <f>(1+C8)^(1/12)-1</f>
        <v>7.9741404289037643E-3</v>
      </c>
      <c r="D9" s="64" t="s">
        <v>66</v>
      </c>
      <c r="E9" s="64"/>
    </row>
    <row r="10" spans="2:9" s="38" customFormat="1" ht="7.5" customHeight="1"/>
    <row r="11" spans="2:9" s="38" customFormat="1" ht="12.5">
      <c r="B11" s="38" t="s">
        <v>70</v>
      </c>
    </row>
    <row r="12" spans="2:9" s="38" customFormat="1" ht="12.5"/>
    <row r="13" spans="2:9" s="38" customFormat="1" ht="12.5">
      <c r="B13" s="47" t="s">
        <v>55</v>
      </c>
      <c r="C13" s="62">
        <f>-SUM(I21:I380)</f>
        <v>1231816.2413099206</v>
      </c>
    </row>
    <row r="14" spans="2:9" s="38" customFormat="1" ht="4.5" customHeight="1">
      <c r="B14" s="48"/>
      <c r="C14" s="49"/>
    </row>
    <row r="15" spans="2:9" s="38" customFormat="1" ht="12.5">
      <c r="B15" s="50" t="s">
        <v>56</v>
      </c>
      <c r="C15" s="51">
        <f>C13-C7</f>
        <v>831816.24130992056</v>
      </c>
    </row>
    <row r="16" spans="2:9" s="38" customFormat="1" ht="12.75" customHeight="1">
      <c r="B16" s="48"/>
      <c r="C16" s="52"/>
    </row>
    <row r="17" spans="2:9" s="38" customFormat="1" ht="12.5">
      <c r="B17" s="48"/>
      <c r="C17" s="52"/>
      <c r="G17" s="65"/>
      <c r="H17" s="65"/>
    </row>
    <row r="18" spans="2:9" s="38" customFormat="1" ht="13">
      <c r="B18" s="196" t="s">
        <v>57</v>
      </c>
      <c r="C18" s="196" t="s">
        <v>62</v>
      </c>
      <c r="D18" s="196" t="s">
        <v>65</v>
      </c>
      <c r="E18" s="196" t="s">
        <v>58</v>
      </c>
      <c r="F18" s="60" t="s">
        <v>40</v>
      </c>
      <c r="G18" s="60"/>
      <c r="H18" s="60"/>
      <c r="I18" s="60"/>
    </row>
    <row r="19" spans="2:9" s="38" customFormat="1" ht="13">
      <c r="B19" s="196"/>
      <c r="C19" s="197"/>
      <c r="D19" s="196"/>
      <c r="E19" s="196"/>
      <c r="F19" s="61" t="s">
        <v>59</v>
      </c>
      <c r="G19" s="61" t="s">
        <v>60</v>
      </c>
      <c r="H19" s="61" t="s">
        <v>41</v>
      </c>
      <c r="I19" s="61" t="s">
        <v>61</v>
      </c>
    </row>
    <row r="20" spans="2:9" s="38" customFormat="1" ht="4.5" customHeight="1">
      <c r="B20" s="53"/>
      <c r="C20" s="53"/>
      <c r="D20" s="53"/>
      <c r="E20" s="53"/>
      <c r="F20" s="53"/>
      <c r="G20" s="53"/>
      <c r="H20" s="53"/>
      <c r="I20" s="53"/>
    </row>
    <row r="21" spans="2:9" s="38" customFormat="1" ht="14.5" outlineLevel="1">
      <c r="B21" s="54">
        <v>1</v>
      </c>
      <c r="C21" s="55">
        <f>IFERROR(C7+F21+D21,0)</f>
        <v>399388.88888888888</v>
      </c>
      <c r="D21" s="56">
        <f>C7*(TR/12)</f>
        <v>500</v>
      </c>
      <c r="E21" s="56">
        <f>IF($C$21&lt;=0,0,$C$7*$C$9)</f>
        <v>3189.6561715615057</v>
      </c>
      <c r="F21" s="57">
        <f>IFERROR(-$C$7/$C$5,"n/a")</f>
        <v>-1111.1111111111111</v>
      </c>
      <c r="G21" s="57">
        <f t="shared" ref="G21:G84" si="0">-E21</f>
        <v>-3189.6561715615057</v>
      </c>
      <c r="H21" s="57">
        <f>-IF(C21&lt;=0,0,$C$7*Premissas!C30)</f>
        <v>-239.99999999999997</v>
      </c>
      <c r="I21" s="83">
        <f>SUM(F21:H21)-SUM(Premissas!C29,Premissas!C32)</f>
        <v>-5840.7672826726166</v>
      </c>
    </row>
    <row r="22" spans="2:9" s="38" customFormat="1" ht="14.5" outlineLevel="1">
      <c r="B22" s="54">
        <f>B21+1</f>
        <v>2</v>
      </c>
      <c r="C22" s="55">
        <f>C21+F22+D22</f>
        <v>398775.62113122875</v>
      </c>
      <c r="D22" s="56">
        <f t="shared" ref="D22:D85" si="1">C21*(TR/12)</f>
        <v>499.23611111111109</v>
      </c>
      <c r="E22" s="56">
        <f t="shared" ref="E22:E85" si="2">C21*$C$9</f>
        <v>3184.7830857438421</v>
      </c>
      <c r="F22" s="57">
        <f>IFERROR(-C21/($C$5-B21),"n/a")</f>
        <v>-1112.5038687712781</v>
      </c>
      <c r="G22" s="57">
        <f t="shared" si="0"/>
        <v>-3184.7830857438421</v>
      </c>
      <c r="H22" s="57">
        <f>-C21*Premissas!$C$30</f>
        <v>-239.6333333333333</v>
      </c>
      <c r="I22" s="58">
        <f t="shared" ref="I22:I85" si="3">SUM(F22:H22)*(1+TR/12)</f>
        <v>-4542.5914382082647</v>
      </c>
    </row>
    <row r="23" spans="2:9" s="38" customFormat="1" ht="14.5" outlineLevel="1">
      <c r="B23" s="54">
        <f t="shared" ref="B23:B86" si="4">B22+1</f>
        <v>3</v>
      </c>
      <c r="C23" s="55">
        <f t="shared" ref="C23:C86" si="5">C22+F23+D23</f>
        <v>398160.19227459468</v>
      </c>
      <c r="D23" s="56">
        <f t="shared" si="1"/>
        <v>498.46952641403595</v>
      </c>
      <c r="E23" s="56">
        <f t="shared" si="2"/>
        <v>3179.8928025237415</v>
      </c>
      <c r="F23" s="57">
        <f t="shared" ref="F23:F86" si="6">IFERROR(-C22/($C$5-B22),"n/a")</f>
        <v>-1113.898383048125</v>
      </c>
      <c r="G23" s="57">
        <f t="shared" si="0"/>
        <v>-3179.8928025237415</v>
      </c>
      <c r="H23" s="57">
        <f>-C22*Premissas!$C$30</f>
        <v>-239.26537267873724</v>
      </c>
      <c r="I23" s="58">
        <f t="shared" si="3"/>
        <v>-4538.722878948417</v>
      </c>
    </row>
    <row r="24" spans="2:9" s="38" customFormat="1" ht="14.5" outlineLevel="1">
      <c r="B24" s="54">
        <f t="shared" si="4"/>
        <v>4</v>
      </c>
      <c r="C24" s="55">
        <f t="shared" si="5"/>
        <v>397542.59785870655</v>
      </c>
      <c r="D24" s="56">
        <f t="shared" si="1"/>
        <v>497.70024034324337</v>
      </c>
      <c r="E24" s="56">
        <f t="shared" si="2"/>
        <v>3174.9852863969418</v>
      </c>
      <c r="F24" s="57">
        <f t="shared" si="6"/>
        <v>-1115.2946562313577</v>
      </c>
      <c r="G24" s="57">
        <f t="shared" si="0"/>
        <v>-3174.9852863969418</v>
      </c>
      <c r="H24" s="57">
        <f>-C23*Premissas!$C$30</f>
        <v>-238.89611536475678</v>
      </c>
      <c r="I24" s="58">
        <f t="shared" si="3"/>
        <v>-4534.8375280655482</v>
      </c>
    </row>
    <row r="25" spans="2:9" s="38" customFormat="1" ht="14.5" outlineLevel="1">
      <c r="B25" s="54">
        <f t="shared" si="4"/>
        <v>5</v>
      </c>
      <c r="C25" s="55">
        <f t="shared" si="5"/>
        <v>396922.8334154156</v>
      </c>
      <c r="D25" s="56">
        <f t="shared" si="1"/>
        <v>496.92824732338318</v>
      </c>
      <c r="E25" s="56">
        <f t="shared" si="2"/>
        <v>3170.0605017965431</v>
      </c>
      <c r="F25" s="57">
        <f t="shared" si="6"/>
        <v>-1116.6926906143442</v>
      </c>
      <c r="G25" s="57">
        <f t="shared" si="0"/>
        <v>-3170.0605017965431</v>
      </c>
      <c r="H25" s="57">
        <f>-C24*Premissas!$C$30</f>
        <v>-238.52555871522389</v>
      </c>
      <c r="I25" s="58">
        <f t="shared" si="3"/>
        <v>-4530.9353495650184</v>
      </c>
    </row>
    <row r="26" spans="2:9" s="38" customFormat="1" ht="14.5" outlineLevel="1">
      <c r="B26" s="54">
        <f t="shared" si="4"/>
        <v>6</v>
      </c>
      <c r="C26" s="55">
        <f t="shared" si="5"/>
        <v>396300.89446869073</v>
      </c>
      <c r="D26" s="56">
        <f t="shared" si="1"/>
        <v>496.15354176926951</v>
      </c>
      <c r="E26" s="56">
        <f t="shared" si="2"/>
        <v>3165.1184130928996</v>
      </c>
      <c r="F26" s="57">
        <f t="shared" si="6"/>
        <v>-1118.0924884941285</v>
      </c>
      <c r="G26" s="57">
        <f t="shared" si="0"/>
        <v>-3165.1184130928996</v>
      </c>
      <c r="H26" s="57">
        <f>-C25*Premissas!$C$30</f>
        <v>-238.15370004924935</v>
      </c>
      <c r="I26" s="58">
        <f t="shared" si="3"/>
        <v>-4527.0163073883223</v>
      </c>
    </row>
    <row r="27" spans="2:9" s="38" customFormat="1" ht="14.5" outlineLevel="1">
      <c r="B27" s="54">
        <f t="shared" si="4"/>
        <v>7</v>
      </c>
      <c r="C27" s="55">
        <f t="shared" si="5"/>
        <v>395676.77653460519</v>
      </c>
      <c r="D27" s="56">
        <f t="shared" si="1"/>
        <v>495.37611808586342</v>
      </c>
      <c r="E27" s="56">
        <f t="shared" si="2"/>
        <v>3160.1589845935109</v>
      </c>
      <c r="F27" s="57">
        <f t="shared" si="6"/>
        <v>-1119.4940521714427</v>
      </c>
      <c r="G27" s="57">
        <f t="shared" si="0"/>
        <v>-3160.1589845935109</v>
      </c>
      <c r="H27" s="57">
        <f>-C26*Premissas!$C$30</f>
        <v>-237.78053668121441</v>
      </c>
      <c r="I27" s="58">
        <f t="shared" si="3"/>
        <v>-4523.0803654129759</v>
      </c>
    </row>
    <row r="28" spans="2:9" s="38" customFormat="1" ht="14.5" outlineLevel="1">
      <c r="B28" s="54">
        <f t="shared" si="4"/>
        <v>8</v>
      </c>
      <c r="C28" s="55">
        <f t="shared" si="5"/>
        <v>395050.47512132273</v>
      </c>
      <c r="D28" s="56">
        <f t="shared" si="1"/>
        <v>494.59597066825648</v>
      </c>
      <c r="E28" s="56">
        <f t="shared" si="2"/>
        <v>3155.1821805429154</v>
      </c>
      <c r="F28" s="57">
        <f t="shared" si="6"/>
        <v>-1120.897383950723</v>
      </c>
      <c r="G28" s="57">
        <f t="shared" si="0"/>
        <v>-3155.1821805429154</v>
      </c>
      <c r="H28" s="57">
        <f>-C27*Premissas!$C$30</f>
        <v>-237.4060659207631</v>
      </c>
      <c r="I28" s="58">
        <f t="shared" si="3"/>
        <v>-4519.1274874524206</v>
      </c>
    </row>
    <row r="29" spans="2:9" s="38" customFormat="1" ht="14.5" outlineLevel="1">
      <c r="B29" s="54">
        <f t="shared" si="4"/>
        <v>9</v>
      </c>
      <c r="C29" s="55">
        <f t="shared" si="5"/>
        <v>394421.98572908429</v>
      </c>
      <c r="D29" s="56">
        <f t="shared" si="1"/>
        <v>493.81309390165342</v>
      </c>
      <c r="E29" s="56">
        <f t="shared" si="2"/>
        <v>3150.1879651225804</v>
      </c>
      <c r="F29" s="57">
        <f t="shared" si="6"/>
        <v>-1122.3024861401213</v>
      </c>
      <c r="G29" s="57">
        <f t="shared" si="0"/>
        <v>-3150.1879651225804</v>
      </c>
      <c r="H29" s="57">
        <f>-C28*Premissas!$C$30</f>
        <v>-237.03028507279362</v>
      </c>
      <c r="I29" s="58">
        <f t="shared" si="3"/>
        <v>-4515.1576372559148</v>
      </c>
    </row>
    <row r="30" spans="2:9" s="38" customFormat="1" ht="14.5" outlineLevel="1">
      <c r="B30" s="54">
        <f t="shared" si="4"/>
        <v>10</v>
      </c>
      <c r="C30" s="55">
        <f t="shared" si="5"/>
        <v>393791.30385019415</v>
      </c>
      <c r="D30" s="56">
        <f t="shared" si="1"/>
        <v>493.02748216135535</v>
      </c>
      <c r="E30" s="56">
        <f t="shared" si="2"/>
        <v>3145.1763024507945</v>
      </c>
      <c r="F30" s="57">
        <f t="shared" si="6"/>
        <v>-1123.7093610515221</v>
      </c>
      <c r="G30" s="57">
        <f t="shared" si="0"/>
        <v>-3145.1763024507945</v>
      </c>
      <c r="H30" s="57">
        <f>-C29*Premissas!$C$30</f>
        <v>-236.65319143745054</v>
      </c>
      <c r="I30" s="58">
        <f t="shared" si="3"/>
        <v>-4511.1707785084418</v>
      </c>
    </row>
    <row r="31" spans="2:9" s="38" customFormat="1" ht="14.5" outlineLevel="1">
      <c r="B31" s="54">
        <f t="shared" si="4"/>
        <v>11</v>
      </c>
      <c r="C31" s="55">
        <f t="shared" si="5"/>
        <v>393158.42496900633</v>
      </c>
      <c r="D31" s="56">
        <f t="shared" si="1"/>
        <v>492.2391298127427</v>
      </c>
      <c r="E31" s="56">
        <f t="shared" si="2"/>
        <v>3140.1471565825595</v>
      </c>
      <c r="F31" s="57">
        <f t="shared" si="6"/>
        <v>-1125.1180110005548</v>
      </c>
      <c r="G31" s="57">
        <f t="shared" si="0"/>
        <v>-3140.1471565825595</v>
      </c>
      <c r="H31" s="57">
        <f>-C30*Premissas!$C$30</f>
        <v>-236.27478231011648</v>
      </c>
      <c r="I31" s="58">
        <f t="shared" si="3"/>
        <v>-4507.1668748305974</v>
      </c>
    </row>
    <row r="32" spans="2:9" s="38" customFormat="1" ht="14.5" outlineLevel="1">
      <c r="B32" s="54">
        <f t="shared" si="4"/>
        <v>12</v>
      </c>
      <c r="C32" s="55">
        <f t="shared" si="5"/>
        <v>392523.34456191101</v>
      </c>
      <c r="D32" s="56">
        <f t="shared" si="1"/>
        <v>491.4480312112579</v>
      </c>
      <c r="E32" s="56">
        <f t="shared" si="2"/>
        <v>3135.1004915094804</v>
      </c>
      <c r="F32" s="57">
        <f t="shared" si="6"/>
        <v>-1126.5284383066085</v>
      </c>
      <c r="G32" s="57">
        <f t="shared" si="0"/>
        <v>-3135.1004915094804</v>
      </c>
      <c r="H32" s="57">
        <f>-C31*Premissas!$C$30</f>
        <v>-235.89505498140377</v>
      </c>
      <c r="I32" s="58">
        <f t="shared" si="3"/>
        <v>-4503.1458897784896</v>
      </c>
    </row>
    <row r="33" spans="2:9" s="38" customFormat="1" ht="14.5" outlineLevel="1">
      <c r="B33" s="54">
        <f t="shared" si="4"/>
        <v>13</v>
      </c>
      <c r="C33" s="55">
        <f t="shared" si="5"/>
        <v>391886.05809732055</v>
      </c>
      <c r="D33" s="56">
        <f t="shared" si="1"/>
        <v>490.65418070238877</v>
      </c>
      <c r="E33" s="56">
        <f t="shared" si="2"/>
        <v>3130.0362711596572</v>
      </c>
      <c r="F33" s="57">
        <f t="shared" si="6"/>
        <v>-1127.9406452928476</v>
      </c>
      <c r="G33" s="57">
        <f t="shared" si="0"/>
        <v>-3130.0362711596572</v>
      </c>
      <c r="H33" s="57">
        <f>-C32*Premissas!$C$30</f>
        <v>-235.51400673714659</v>
      </c>
      <c r="I33" s="58">
        <f t="shared" si="3"/>
        <v>-4499.1077868436387</v>
      </c>
    </row>
    <row r="34" spans="2:9" s="38" customFormat="1" ht="14.5" outlineLevel="1">
      <c r="B34" s="54">
        <f t="shared" si="4"/>
        <v>14</v>
      </c>
      <c r="C34" s="55">
        <f t="shared" si="5"/>
        <v>391246.56103565596</v>
      </c>
      <c r="D34" s="56">
        <f t="shared" si="1"/>
        <v>489.85757262165072</v>
      </c>
      <c r="E34" s="56">
        <f t="shared" si="2"/>
        <v>3124.9544593975734</v>
      </c>
      <c r="F34" s="57">
        <f t="shared" si="6"/>
        <v>-1129.3546342862264</v>
      </c>
      <c r="G34" s="57">
        <f t="shared" si="0"/>
        <v>-3124.9544593975734</v>
      </c>
      <c r="H34" s="57">
        <f>-C33*Premissas!$C$30</f>
        <v>-235.13163485839232</v>
      </c>
      <c r="I34" s="58">
        <f t="shared" si="3"/>
        <v>-4495.0525294528697</v>
      </c>
    </row>
    <row r="35" spans="2:9" s="38" customFormat="1" ht="14.5" outlineLevel="1">
      <c r="B35" s="54">
        <f t="shared" si="4"/>
        <v>15</v>
      </c>
      <c r="C35" s="55">
        <f t="shared" si="5"/>
        <v>390604.84882933303</v>
      </c>
      <c r="D35" s="56">
        <f t="shared" si="1"/>
        <v>489.05820129456998</v>
      </c>
      <c r="E35" s="56">
        <f t="shared" si="2"/>
        <v>3119.8550200239883</v>
      </c>
      <c r="F35" s="57">
        <f t="shared" si="6"/>
        <v>-1130.7704076175028</v>
      </c>
      <c r="G35" s="57">
        <f t="shared" si="0"/>
        <v>-3119.8550200239883</v>
      </c>
      <c r="H35" s="57">
        <f>-C34*Premissas!$C$30</f>
        <v>-234.74793662139356</v>
      </c>
      <c r="I35" s="58">
        <f t="shared" si="3"/>
        <v>-4490.9800809682138</v>
      </c>
    </row>
    <row r="36" spans="2:9" s="38" customFormat="1" ht="14.5" outlineLevel="1">
      <c r="B36" s="54">
        <f t="shared" si="4"/>
        <v>16</v>
      </c>
      <c r="C36" s="55">
        <f t="shared" si="5"/>
        <v>389960.91692274844</v>
      </c>
      <c r="D36" s="56">
        <f t="shared" si="1"/>
        <v>488.25606103666632</v>
      </c>
      <c r="E36" s="56">
        <f t="shared" si="2"/>
        <v>3114.7379167758277</v>
      </c>
      <c r="F36" s="57">
        <f t="shared" si="6"/>
        <v>-1132.1879676212552</v>
      </c>
      <c r="G36" s="57">
        <f t="shared" si="0"/>
        <v>-3114.7379167758277</v>
      </c>
      <c r="H36" s="57">
        <f>-C35*Premissas!$C$30</f>
        <v>-234.3629092975998</v>
      </c>
      <c r="I36" s="58">
        <f t="shared" si="3"/>
        <v>-4486.890404686801</v>
      </c>
    </row>
    <row r="37" spans="2:9" s="38" customFormat="1" ht="14.5" outlineLevel="1">
      <c r="B37" s="54">
        <f t="shared" si="4"/>
        <v>17</v>
      </c>
      <c r="C37" s="55">
        <f t="shared" si="5"/>
        <v>389314.76075226598</v>
      </c>
      <c r="D37" s="56">
        <f t="shared" si="1"/>
        <v>487.45114615343556</v>
      </c>
      <c r="E37" s="56">
        <f t="shared" si="2"/>
        <v>3109.6031133260703</v>
      </c>
      <c r="F37" s="57">
        <f t="shared" si="6"/>
        <v>-1133.6073166358967</v>
      </c>
      <c r="G37" s="57">
        <f t="shared" si="0"/>
        <v>-3109.6031133260703</v>
      </c>
      <c r="H37" s="57">
        <f>-C36*Premissas!$C$30</f>
        <v>-233.97655015364904</v>
      </c>
      <c r="I37" s="58">
        <f t="shared" si="3"/>
        <v>-4482.7834638407603</v>
      </c>
    </row>
    <row r="38" spans="2:9" s="38" customFormat="1" ht="14.5" outlineLevel="1">
      <c r="B38" s="54">
        <f t="shared" si="4"/>
        <v>18</v>
      </c>
      <c r="C38" s="55">
        <f t="shared" si="5"/>
        <v>388666.3757462026</v>
      </c>
      <c r="D38" s="56">
        <f t="shared" si="1"/>
        <v>486.64345094033251</v>
      </c>
      <c r="E38" s="56">
        <f t="shared" si="2"/>
        <v>3104.4505732836406</v>
      </c>
      <c r="F38" s="57">
        <f t="shared" si="6"/>
        <v>-1135.0284570036908</v>
      </c>
      <c r="G38" s="57">
        <f t="shared" si="0"/>
        <v>-3104.4505732836406</v>
      </c>
      <c r="H38" s="57">
        <f>-C37*Premissas!$C$30</f>
        <v>-233.58885645135956</v>
      </c>
      <c r="I38" s="58">
        <f t="shared" si="3"/>
        <v>-4478.659221597115</v>
      </c>
    </row>
    <row r="39" spans="2:9" s="38" customFormat="1" ht="14.5" outlineLevel="1">
      <c r="B39" s="54">
        <f t="shared" si="4"/>
        <v>19</v>
      </c>
      <c r="C39" s="55">
        <f t="shared" si="5"/>
        <v>388015.75732481456</v>
      </c>
      <c r="D39" s="56">
        <f t="shared" si="1"/>
        <v>485.83296968275323</v>
      </c>
      <c r="E39" s="56">
        <f t="shared" si="2"/>
        <v>3099.2802601932954</v>
      </c>
      <c r="F39" s="57">
        <f t="shared" si="6"/>
        <v>-1136.4513910707678</v>
      </c>
      <c r="G39" s="57">
        <f t="shared" si="0"/>
        <v>-3099.2802601932954</v>
      </c>
      <c r="H39" s="57">
        <f>-C38*Premissas!$C$30</f>
        <v>-233.19982544772154</v>
      </c>
      <c r="I39" s="58">
        <f t="shared" si="3"/>
        <v>-4474.5176410576732</v>
      </c>
    </row>
    <row r="40" spans="2:9" s="38" customFormat="1" ht="14.5" outlineLevel="1">
      <c r="B40" s="54">
        <f t="shared" si="4"/>
        <v>20</v>
      </c>
      <c r="C40" s="55">
        <f t="shared" si="5"/>
        <v>387362.90090028348</v>
      </c>
      <c r="D40" s="56">
        <f t="shared" si="1"/>
        <v>485.0196966560182</v>
      </c>
      <c r="E40" s="56">
        <f t="shared" si="2"/>
        <v>3094.0921375355156</v>
      </c>
      <c r="F40" s="57">
        <f t="shared" si="6"/>
        <v>-1137.8761211871395</v>
      </c>
      <c r="G40" s="57">
        <f t="shared" si="0"/>
        <v>-3094.0921375355156</v>
      </c>
      <c r="H40" s="57">
        <f>-C39*Premissas!$C$30</f>
        <v>-232.80945439488872</v>
      </c>
      <c r="I40" s="58">
        <f t="shared" si="3"/>
        <v>-4470.3586852589415</v>
      </c>
    </row>
    <row r="41" spans="2:9" s="38" customFormat="1" ht="14.5" outlineLevel="1">
      <c r="B41" s="54">
        <f t="shared" si="4"/>
        <v>21</v>
      </c>
      <c r="C41" s="55">
        <f t="shared" si="5"/>
        <v>386707.80187670211</v>
      </c>
      <c r="D41" s="56">
        <f t="shared" si="1"/>
        <v>484.20362612535433</v>
      </c>
      <c r="E41" s="56">
        <f t="shared" si="2"/>
        <v>3088.886168726393</v>
      </c>
      <c r="F41" s="57">
        <f t="shared" si="6"/>
        <v>-1139.302649706716</v>
      </c>
      <c r="G41" s="57">
        <f t="shared" si="0"/>
        <v>-3088.886168726393</v>
      </c>
      <c r="H41" s="57">
        <f>-C40*Premissas!$C$30</f>
        <v>-232.41774054017006</v>
      </c>
      <c r="I41" s="58">
        <f t="shared" si="3"/>
        <v>-4466.1823171719952</v>
      </c>
    </row>
    <row r="42" spans="2:9" s="38" customFormat="1" ht="14.5" outlineLevel="1">
      <c r="B42" s="54">
        <f t="shared" si="4"/>
        <v>22</v>
      </c>
      <c r="C42" s="55">
        <f t="shared" si="5"/>
        <v>386050.45565006067</v>
      </c>
      <c r="D42" s="56">
        <f t="shared" si="1"/>
        <v>483.38475234587764</v>
      </c>
      <c r="E42" s="56">
        <f t="shared" si="2"/>
        <v>3083.6623171175174</v>
      </c>
      <c r="F42" s="57">
        <f t="shared" si="6"/>
        <v>-1140.7309789873218</v>
      </c>
      <c r="G42" s="57">
        <f t="shared" si="0"/>
        <v>-3083.6623171175174</v>
      </c>
      <c r="H42" s="57">
        <f>-C41*Premissas!$C$30</f>
        <v>-232.02468112602125</v>
      </c>
      <c r="I42" s="58">
        <f t="shared" si="3"/>
        <v>-4461.9884997023992</v>
      </c>
    </row>
    <row r="43" spans="2:9" s="38" customFormat="1" ht="14.5" outlineLevel="1">
      <c r="B43" s="54">
        <f t="shared" si="4"/>
        <v>23</v>
      </c>
      <c r="C43" s="55">
        <f t="shared" si="5"/>
        <v>385390.85760823259</v>
      </c>
      <c r="D43" s="56">
        <f t="shared" si="1"/>
        <v>482.56306956257583</v>
      </c>
      <c r="E43" s="56">
        <f t="shared" si="2"/>
        <v>3078.4205459958685</v>
      </c>
      <c r="F43" s="57">
        <f t="shared" si="6"/>
        <v>-1142.161111390712</v>
      </c>
      <c r="G43" s="57">
        <f t="shared" si="0"/>
        <v>-3078.4205459958685</v>
      </c>
      <c r="H43" s="57">
        <f>-C42*Premissas!$C$30</f>
        <v>-231.63027339003639</v>
      </c>
      <c r="I43" s="58">
        <f t="shared" si="3"/>
        <v>-4457.7771956900879</v>
      </c>
    </row>
    <row r="44" spans="2:9" s="38" customFormat="1" ht="14.5" outlineLevel="1">
      <c r="B44" s="54">
        <f t="shared" si="4"/>
        <v>24</v>
      </c>
      <c r="C44" s="55">
        <f t="shared" si="5"/>
        <v>384729.00313096028</v>
      </c>
      <c r="D44" s="56">
        <f t="shared" si="1"/>
        <v>481.73857201029074</v>
      </c>
      <c r="E44" s="56">
        <f t="shared" si="2"/>
        <v>3073.1608185837013</v>
      </c>
      <c r="F44" s="57">
        <f t="shared" si="6"/>
        <v>-1143.5930492825894</v>
      </c>
      <c r="G44" s="57">
        <f t="shared" si="0"/>
        <v>-3073.1608185837013</v>
      </c>
      <c r="H44" s="57">
        <f>-C43*Premissas!$C$30</f>
        <v>-231.23451456493953</v>
      </c>
      <c r="I44" s="58">
        <f t="shared" si="3"/>
        <v>-4453.5483679092686</v>
      </c>
    </row>
    <row r="45" spans="2:9" s="38" customFormat="1" ht="14.5" outlineLevel="1">
      <c r="B45" s="54">
        <f t="shared" si="4"/>
        <v>25</v>
      </c>
      <c r="C45" s="55">
        <f t="shared" si="5"/>
        <v>384064.88758984138</v>
      </c>
      <c r="D45" s="56">
        <f t="shared" si="1"/>
        <v>480.91125391370036</v>
      </c>
      <c r="E45" s="56">
        <f t="shared" si="2"/>
        <v>3067.8830980384332</v>
      </c>
      <c r="F45" s="57">
        <f t="shared" si="6"/>
        <v>-1145.0267950326199</v>
      </c>
      <c r="G45" s="57">
        <f t="shared" si="0"/>
        <v>-3067.8830980384332</v>
      </c>
      <c r="H45" s="57">
        <f>-C44*Premissas!$C$30</f>
        <v>-230.83740187857615</v>
      </c>
      <c r="I45" s="58">
        <f t="shared" si="3"/>
        <v>-4449.3019790683165</v>
      </c>
    </row>
    <row r="46" spans="2:9" s="38" customFormat="1" ht="14.5" outlineLevel="1">
      <c r="B46" s="54">
        <f t="shared" si="4"/>
        <v>26</v>
      </c>
      <c r="C46" s="55">
        <f t="shared" si="5"/>
        <v>383398.50634831423</v>
      </c>
      <c r="D46" s="56">
        <f t="shared" si="1"/>
        <v>480.08110948730172</v>
      </c>
      <c r="E46" s="56">
        <f t="shared" si="2"/>
        <v>3062.5873474525338</v>
      </c>
      <c r="F46" s="57">
        <f t="shared" si="6"/>
        <v>-1146.462351014452</v>
      </c>
      <c r="G46" s="57">
        <f t="shared" si="0"/>
        <v>-3062.5873474525338</v>
      </c>
      <c r="H46" s="57">
        <f>-C45*Premissas!$C$30</f>
        <v>-230.43893255390481</v>
      </c>
      <c r="I46" s="58">
        <f t="shared" si="3"/>
        <v>-4445.0379918096669</v>
      </c>
    </row>
    <row r="47" spans="2:9" s="38" customFormat="1" ht="14.5" outlineLevel="1">
      <c r="B47" s="54">
        <f t="shared" si="4"/>
        <v>27</v>
      </c>
      <c r="C47" s="55">
        <f t="shared" si="5"/>
        <v>382729.85476164386</v>
      </c>
      <c r="D47" s="56">
        <f t="shared" si="1"/>
        <v>479.24813293539279</v>
      </c>
      <c r="E47" s="56">
        <f t="shared" si="2"/>
        <v>3057.2735298534089</v>
      </c>
      <c r="F47" s="57">
        <f t="shared" si="6"/>
        <v>-1147.8997196057312</v>
      </c>
      <c r="G47" s="57">
        <f t="shared" si="0"/>
        <v>-3057.2735298534089</v>
      </c>
      <c r="H47" s="57">
        <f>-C46*Premissas!$C$30</f>
        <v>-230.03910380898853</v>
      </c>
      <c r="I47" s="58">
        <f t="shared" si="3"/>
        <v>-4440.7563687097127</v>
      </c>
    </row>
    <row r="48" spans="2:9" s="38" customFormat="1" ht="14.5" outlineLevel="1">
      <c r="B48" s="54">
        <f t="shared" si="4"/>
        <v>28</v>
      </c>
      <c r="C48" s="55">
        <f t="shared" si="5"/>
        <v>382058.92817690776</v>
      </c>
      <c r="D48" s="56">
        <f t="shared" si="1"/>
        <v>478.41231845205482</v>
      </c>
      <c r="E48" s="56">
        <f t="shared" si="2"/>
        <v>3051.9416082032903</v>
      </c>
      <c r="F48" s="57">
        <f t="shared" si="6"/>
        <v>-1149.3389031881197</v>
      </c>
      <c r="G48" s="57">
        <f t="shared" si="0"/>
        <v>-3051.9416082032903</v>
      </c>
      <c r="H48" s="57">
        <f>-C47*Premissas!$C$30</f>
        <v>-229.6379128569863</v>
      </c>
      <c r="I48" s="58">
        <f t="shared" si="3"/>
        <v>-4436.4570722787066</v>
      </c>
    </row>
    <row r="49" spans="2:9" s="38" customFormat="1" ht="14.5" outlineLevel="1">
      <c r="B49" s="54">
        <f t="shared" si="4"/>
        <v>29</v>
      </c>
      <c r="C49" s="55">
        <f t="shared" si="5"/>
        <v>381385.72193298157</v>
      </c>
      <c r="D49" s="56">
        <f t="shared" si="1"/>
        <v>477.57366022113473</v>
      </c>
      <c r="E49" s="56">
        <f t="shared" si="2"/>
        <v>3046.5915453991197</v>
      </c>
      <c r="F49" s="57">
        <f t="shared" si="6"/>
        <v>-1150.7799041473124</v>
      </c>
      <c r="G49" s="57">
        <f t="shared" si="0"/>
        <v>-3046.5915453991197</v>
      </c>
      <c r="H49" s="57">
        <f>-C48*Premissas!$C$30</f>
        <v>-229.23535690614463</v>
      </c>
      <c r="I49" s="58">
        <f t="shared" si="3"/>
        <v>-4432.1400649606421</v>
      </c>
    </row>
    <row r="50" spans="2:9" s="38" customFormat="1" ht="14.5" outlineLevel="1">
      <c r="B50" s="54">
        <f t="shared" si="4"/>
        <v>30</v>
      </c>
      <c r="C50" s="55">
        <f t="shared" si="5"/>
        <v>380710.23136052478</v>
      </c>
      <c r="D50" s="56">
        <f t="shared" si="1"/>
        <v>476.732152416227</v>
      </c>
      <c r="E50" s="56">
        <f t="shared" si="2"/>
        <v>3041.2233042724374</v>
      </c>
      <c r="F50" s="57">
        <f t="shared" si="6"/>
        <v>-1152.222724873056</v>
      </c>
      <c r="G50" s="57">
        <f t="shared" si="0"/>
        <v>-3041.2233042724374</v>
      </c>
      <c r="H50" s="57">
        <f>-C49*Premissas!$C$30</f>
        <v>-228.83143315978893</v>
      </c>
      <c r="I50" s="58">
        <f t="shared" si="3"/>
        <v>-4427.8053091331631</v>
      </c>
    </row>
    <row r="51" spans="2:9" s="38" customFormat="1" ht="14.5" outlineLevel="1">
      <c r="B51" s="54">
        <f t="shared" si="4"/>
        <v>31</v>
      </c>
      <c r="C51" s="55">
        <f t="shared" si="5"/>
        <v>380032.45178196626</v>
      </c>
      <c r="D51" s="56">
        <f t="shared" si="1"/>
        <v>475.88778920065596</v>
      </c>
      <c r="E51" s="56">
        <f t="shared" si="2"/>
        <v>3035.8368475892662</v>
      </c>
      <c r="F51" s="57">
        <f t="shared" si="6"/>
        <v>-1153.6673677591659</v>
      </c>
      <c r="G51" s="57">
        <f t="shared" si="0"/>
        <v>-3035.8368475892662</v>
      </c>
      <c r="H51" s="57">
        <f>-C50*Premissas!$C$30</f>
        <v>-228.42613881631485</v>
      </c>
      <c r="I51" s="58">
        <f t="shared" si="3"/>
        <v>-4423.4527671074529</v>
      </c>
    </row>
    <row r="52" spans="2:9" s="38" customFormat="1" ht="14.5" outlineLevel="1">
      <c r="B52" s="54">
        <f t="shared" si="4"/>
        <v>32</v>
      </c>
      <c r="C52" s="55">
        <f t="shared" si="5"/>
        <v>379352.37851149018</v>
      </c>
      <c r="D52" s="56">
        <f t="shared" si="1"/>
        <v>475.04056472745782</v>
      </c>
      <c r="E52" s="56">
        <f t="shared" si="2"/>
        <v>3030.4321380499973</v>
      </c>
      <c r="F52" s="57">
        <f t="shared" si="6"/>
        <v>-1155.1138352035448</v>
      </c>
      <c r="G52" s="57">
        <f t="shared" si="0"/>
        <v>-3030.4321380499973</v>
      </c>
      <c r="H52" s="57">
        <f>-C51*Premissas!$C$30</f>
        <v>-228.01947106917973</v>
      </c>
      <c r="I52" s="58">
        <f t="shared" si="3"/>
        <v>-4419.0824011281247</v>
      </c>
    </row>
    <row r="53" spans="2:9" s="38" customFormat="1" ht="14.5" outlineLevel="1">
      <c r="B53" s="54">
        <f t="shared" si="4"/>
        <v>33</v>
      </c>
      <c r="C53" s="55">
        <f t="shared" si="5"/>
        <v>378670.00685502135</v>
      </c>
      <c r="D53" s="56">
        <f t="shared" si="1"/>
        <v>474.19047313936272</v>
      </c>
      <c r="E53" s="56">
        <f t="shared" si="2"/>
        <v>3025.0091382892774</v>
      </c>
      <c r="F53" s="57">
        <f t="shared" si="6"/>
        <v>-1156.5621296082018</v>
      </c>
      <c r="G53" s="57">
        <f t="shared" si="0"/>
        <v>-3025.0091382892774</v>
      </c>
      <c r="H53" s="57">
        <f>-C52*Premissas!$C$30</f>
        <v>-227.6114271068941</v>
      </c>
      <c r="I53" s="58">
        <f t="shared" si="3"/>
        <v>-4414.6941733731292</v>
      </c>
    </row>
    <row r="54" spans="2:9" s="38" customFormat="1" ht="14.5" outlineLevel="1">
      <c r="B54" s="54">
        <f t="shared" si="4"/>
        <v>34</v>
      </c>
      <c r="C54" s="55">
        <f t="shared" si="5"/>
        <v>377985.33211021085</v>
      </c>
      <c r="D54" s="56">
        <f t="shared" si="1"/>
        <v>473.33750856877668</v>
      </c>
      <c r="E54" s="56">
        <f t="shared" si="2"/>
        <v>3019.5678108758912</v>
      </c>
      <c r="F54" s="57">
        <f t="shared" si="6"/>
        <v>-1158.0122533792701</v>
      </c>
      <c r="G54" s="57">
        <f t="shared" si="0"/>
        <v>-3019.5678108758912</v>
      </c>
      <c r="H54" s="57">
        <f>-C53*Premissas!$C$30</f>
        <v>-227.20200411301278</v>
      </c>
      <c r="I54" s="58">
        <f t="shared" si="3"/>
        <v>-4410.2880459536336</v>
      </c>
    </row>
    <row r="55" spans="2:9" s="38" customFormat="1" ht="14.5" outlineLevel="1">
      <c r="B55" s="54">
        <f t="shared" si="4"/>
        <v>35</v>
      </c>
      <c r="C55" s="55">
        <f t="shared" si="5"/>
        <v>377298.34956642159</v>
      </c>
      <c r="D55" s="56">
        <f t="shared" si="1"/>
        <v>472.48166513776357</v>
      </c>
      <c r="E55" s="56">
        <f t="shared" si="2"/>
        <v>3014.1081183126485</v>
      </c>
      <c r="F55" s="57">
        <f t="shared" si="6"/>
        <v>-1159.4642089270271</v>
      </c>
      <c r="G55" s="57">
        <f t="shared" si="0"/>
        <v>-3014.1081183126485</v>
      </c>
      <c r="H55" s="57">
        <f>-C54*Premissas!$C$30</f>
        <v>-226.79119926612648</v>
      </c>
      <c r="I55" s="58">
        <f t="shared" si="3"/>
        <v>-4405.863980913934</v>
      </c>
    </row>
    <row r="56" spans="2:9" s="38" customFormat="1" ht="14.5" outlineLevel="1">
      <c r="B56" s="54">
        <f t="shared" si="4"/>
        <v>36</v>
      </c>
      <c r="C56" s="55">
        <f t="shared" si="5"/>
        <v>376609.05450471374</v>
      </c>
      <c r="D56" s="56">
        <f t="shared" si="1"/>
        <v>471.62293695802697</v>
      </c>
      <c r="E56" s="56">
        <f t="shared" si="2"/>
        <v>3008.6300230362676</v>
      </c>
      <c r="F56" s="57">
        <f t="shared" si="6"/>
        <v>-1160.9179986659126</v>
      </c>
      <c r="G56" s="57">
        <f t="shared" si="0"/>
        <v>-3008.6300230362676</v>
      </c>
      <c r="H56" s="57">
        <f>-C55*Premissas!$C$30</f>
        <v>-226.37900973985293</v>
      </c>
      <c r="I56" s="58">
        <f t="shared" si="3"/>
        <v>-4401.4219402313365</v>
      </c>
    </row>
    <row r="57" spans="2:9" s="38" customFormat="1" ht="14.5" outlineLevel="1">
      <c r="B57" s="54">
        <f t="shared" si="4"/>
        <v>37</v>
      </c>
      <c r="C57" s="55">
        <f t="shared" si="5"/>
        <v>375917.44219783007</v>
      </c>
      <c r="D57" s="56">
        <f t="shared" si="1"/>
        <v>470.76131813089216</v>
      </c>
      <c r="E57" s="56">
        <f t="shared" si="2"/>
        <v>3003.1334874172594</v>
      </c>
      <c r="F57" s="57">
        <f t="shared" si="6"/>
        <v>-1162.3736250145487</v>
      </c>
      <c r="G57" s="57">
        <f t="shared" si="0"/>
        <v>-3003.1334874172594</v>
      </c>
      <c r="H57" s="57">
        <f>-C56*Premissas!$C$30</f>
        <v>-225.96543270282822</v>
      </c>
      <c r="I57" s="58">
        <f t="shared" si="3"/>
        <v>-4396.9618858160547</v>
      </c>
    </row>
    <row r="58" spans="2:9" s="38" customFormat="1" ht="14.5" outlineLevel="1">
      <c r="B58" s="54">
        <f t="shared" si="4"/>
        <v>38</v>
      </c>
      <c r="C58" s="55">
        <f t="shared" si="5"/>
        <v>375223.50791018159</v>
      </c>
      <c r="D58" s="56">
        <f t="shared" si="1"/>
        <v>469.89680274728761</v>
      </c>
      <c r="E58" s="56">
        <f t="shared" si="2"/>
        <v>2997.6184737598105</v>
      </c>
      <c r="F58" s="57">
        <f t="shared" si="6"/>
        <v>-1163.8310903957588</v>
      </c>
      <c r="G58" s="57">
        <f t="shared" si="0"/>
        <v>-2997.6184737598105</v>
      </c>
      <c r="H58" s="57">
        <f>-C57*Premissas!$C$30</f>
        <v>-225.55046531869803</v>
      </c>
      <c r="I58" s="58">
        <f t="shared" si="3"/>
        <v>-4392.4837795111107</v>
      </c>
    </row>
    <row r="59" spans="2:9" s="38" customFormat="1" ht="14.5" outlineLevel="1">
      <c r="B59" s="54">
        <f t="shared" si="4"/>
        <v>39</v>
      </c>
      <c r="C59" s="55">
        <f t="shared" si="5"/>
        <v>374527.24689783272</v>
      </c>
      <c r="D59" s="56">
        <f t="shared" si="1"/>
        <v>469.02938488772702</v>
      </c>
      <c r="E59" s="56">
        <f t="shared" si="2"/>
        <v>2992.0849443016705</v>
      </c>
      <c r="F59" s="57">
        <f t="shared" si="6"/>
        <v>-1165.2903972365889</v>
      </c>
      <c r="G59" s="57">
        <f t="shared" si="0"/>
        <v>-2992.0849443016705</v>
      </c>
      <c r="H59" s="57">
        <f>-C58*Premissas!$C$30</f>
        <v>-225.13410474610893</v>
      </c>
      <c r="I59" s="58">
        <f t="shared" si="3"/>
        <v>-4387.9875830922247</v>
      </c>
    </row>
    <row r="60" spans="2:9" s="38" customFormat="1" ht="14.5" outlineLevel="1">
      <c r="B60" s="54">
        <f t="shared" si="4"/>
        <v>40</v>
      </c>
      <c r="C60" s="55">
        <f t="shared" si="5"/>
        <v>373828.65440848673</v>
      </c>
      <c r="D60" s="56">
        <f t="shared" si="1"/>
        <v>468.1590586222909</v>
      </c>
      <c r="E60" s="56">
        <f t="shared" si="2"/>
        <v>2986.5328612140297</v>
      </c>
      <c r="F60" s="57">
        <f t="shared" si="6"/>
        <v>-1166.7515479683263</v>
      </c>
      <c r="G60" s="57">
        <f t="shared" si="0"/>
        <v>-2986.5328612140297</v>
      </c>
      <c r="H60" s="57">
        <f>-C59*Premissas!$C$30</f>
        <v>-224.7163481386996</v>
      </c>
      <c r="I60" s="58">
        <f t="shared" si="3"/>
        <v>-4383.473258267707</v>
      </c>
    </row>
    <row r="61" spans="2:9" s="38" customFormat="1" ht="14.5" outlineLevel="1">
      <c r="B61" s="54">
        <f t="shared" si="4"/>
        <v>41</v>
      </c>
      <c r="C61" s="55">
        <f t="shared" si="5"/>
        <v>373127.72568147082</v>
      </c>
      <c r="D61" s="56">
        <f t="shared" si="1"/>
        <v>467.28581801060841</v>
      </c>
      <c r="E61" s="56">
        <f t="shared" si="2"/>
        <v>2980.9621866014077</v>
      </c>
      <c r="F61" s="57">
        <f t="shared" si="6"/>
        <v>-1168.2145450265211</v>
      </c>
      <c r="G61" s="57">
        <f t="shared" si="0"/>
        <v>-2980.9621866014077</v>
      </c>
      <c r="H61" s="57">
        <f>-C60*Premissas!$C$30</f>
        <v>-224.29719264509203</v>
      </c>
      <c r="I61" s="58">
        <f t="shared" si="3"/>
        <v>-4378.9407666783627</v>
      </c>
    </row>
    <row r="62" spans="2:9" s="38" customFormat="1" ht="14.5" outlineLevel="1">
      <c r="B62" s="54">
        <f t="shared" si="4"/>
        <v>42</v>
      </c>
      <c r="C62" s="55">
        <f t="shared" si="5"/>
        <v>372424.45594772167</v>
      </c>
      <c r="D62" s="56">
        <f t="shared" si="1"/>
        <v>466.40965710183855</v>
      </c>
      <c r="E62" s="56">
        <f t="shared" si="2"/>
        <v>2975.3728825015301</v>
      </c>
      <c r="F62" s="57">
        <f t="shared" si="6"/>
        <v>-1169.6793908510058</v>
      </c>
      <c r="G62" s="57">
        <f t="shared" si="0"/>
        <v>-2975.3728825015301</v>
      </c>
      <c r="H62" s="57">
        <f>-C61*Premissas!$C$30</f>
        <v>-223.87663540888246</v>
      </c>
      <c r="I62" s="58">
        <f t="shared" si="3"/>
        <v>-4374.3900698973694</v>
      </c>
    </row>
    <row r="63" spans="2:9" s="38" customFormat="1" ht="14.5" outlineLevel="1">
      <c r="B63" s="54">
        <f t="shared" si="4"/>
        <v>43</v>
      </c>
      <c r="C63" s="55">
        <f t="shared" si="5"/>
        <v>371718.84042977041</v>
      </c>
      <c r="D63" s="56">
        <f t="shared" si="1"/>
        <v>465.53056993465208</v>
      </c>
      <c r="E63" s="56">
        <f t="shared" si="2"/>
        <v>2969.7649108852165</v>
      </c>
      <c r="F63" s="57">
        <f t="shared" si="6"/>
        <v>-1171.1460878859173</v>
      </c>
      <c r="G63" s="57">
        <f t="shared" si="0"/>
        <v>-2969.7649108852165</v>
      </c>
      <c r="H63" s="57">
        <f>-C62*Premissas!$C$30</f>
        <v>-223.45467356863298</v>
      </c>
      <c r="I63" s="58">
        <f t="shared" si="3"/>
        <v>-4369.8211294301909</v>
      </c>
    </row>
    <row r="64" spans="2:9" s="38" customFormat="1" ht="14.5" outlineLevel="1">
      <c r="B64" s="54">
        <f t="shared" si="4"/>
        <v>44</v>
      </c>
      <c r="C64" s="55">
        <f t="shared" si="5"/>
        <v>371010.87434172793</v>
      </c>
      <c r="D64" s="56">
        <f t="shared" si="1"/>
        <v>464.648550537213</v>
      </c>
      <c r="E64" s="56">
        <f t="shared" si="2"/>
        <v>2964.1382336562592</v>
      </c>
      <c r="F64" s="57">
        <f t="shared" si="6"/>
        <v>-1172.6146385797174</v>
      </c>
      <c r="G64" s="57">
        <f t="shared" si="0"/>
        <v>-2964.1382336562592</v>
      </c>
      <c r="H64" s="57">
        <f>-C63*Premissas!$C$30</f>
        <v>-223.03130425786222</v>
      </c>
      <c r="I64" s="58">
        <f t="shared" si="3"/>
        <v>-4365.2339067144558</v>
      </c>
    </row>
    <row r="65" spans="2:9" s="38" customFormat="1" ht="14.5" outlineLevel="1">
      <c r="B65" s="54">
        <f t="shared" si="4"/>
        <v>45</v>
      </c>
      <c r="C65" s="55">
        <f t="shared" si="5"/>
        <v>370300.55288926983</v>
      </c>
      <c r="D65" s="56">
        <f t="shared" si="1"/>
        <v>463.76359292715995</v>
      </c>
      <c r="E65" s="56">
        <f t="shared" si="2"/>
        <v>2958.4928126513068</v>
      </c>
      <c r="F65" s="57">
        <f t="shared" si="6"/>
        <v>-1174.0850453852149</v>
      </c>
      <c r="G65" s="57">
        <f t="shared" si="0"/>
        <v>-2958.4928126513068</v>
      </c>
      <c r="H65" s="57">
        <f>-C64*Premissas!$C$30</f>
        <v>-222.60652460503675</v>
      </c>
      <c r="I65" s="58">
        <f t="shared" si="3"/>
        <v>-4360.6283631198603</v>
      </c>
    </row>
    <row r="66" spans="2:9" s="38" customFormat="1" ht="14.5" outlineLevel="1">
      <c r="B66" s="54">
        <f t="shared" si="4"/>
        <v>46</v>
      </c>
      <c r="C66" s="55">
        <f t="shared" si="5"/>
        <v>369587.87126962183</v>
      </c>
      <c r="D66" s="56">
        <f t="shared" si="1"/>
        <v>462.87569111158729</v>
      </c>
      <c r="E66" s="56">
        <f t="shared" si="2"/>
        <v>2952.8286096397433</v>
      </c>
      <c r="F66" s="57">
        <f t="shared" si="6"/>
        <v>-1175.5573107595867</v>
      </c>
      <c r="G66" s="57">
        <f t="shared" si="0"/>
        <v>-2952.8286096397433</v>
      </c>
      <c r="H66" s="57">
        <f>-C65*Premissas!$C$30</f>
        <v>-222.18033173356187</v>
      </c>
      <c r="I66" s="58">
        <f t="shared" si="3"/>
        <v>-4356.004459948057</v>
      </c>
    </row>
    <row r="67" spans="2:9" s="38" customFormat="1" ht="14.5" outlineLevel="1">
      <c r="B67" s="54">
        <f t="shared" si="4"/>
        <v>47</v>
      </c>
      <c r="C67" s="55">
        <f t="shared" si="5"/>
        <v>368872.82467154443</v>
      </c>
      <c r="D67" s="56">
        <f t="shared" si="1"/>
        <v>461.9848390870273</v>
      </c>
      <c r="E67" s="56">
        <f t="shared" si="2"/>
        <v>2947.1455863235715</v>
      </c>
      <c r="F67" s="57">
        <f t="shared" si="6"/>
        <v>-1177.0314371644008</v>
      </c>
      <c r="G67" s="57">
        <f t="shared" si="0"/>
        <v>-2947.1455863235715</v>
      </c>
      <c r="H67" s="57">
        <f>-C66*Premissas!$C$30</f>
        <v>-221.75272276177307</v>
      </c>
      <c r="I67" s="58">
        <f t="shared" si="3"/>
        <v>-4351.3621584325574</v>
      </c>
    </row>
    <row r="68" spans="2:9" s="38" customFormat="1" ht="14.5" outlineLevel="1">
      <c r="B68" s="54">
        <f t="shared" si="4"/>
        <v>48</v>
      </c>
      <c r="C68" s="55">
        <f t="shared" si="5"/>
        <v>368155.40827531822</v>
      </c>
      <c r="D68" s="56">
        <f t="shared" si="1"/>
        <v>461.09103083943052</v>
      </c>
      <c r="E68" s="56">
        <f t="shared" si="2"/>
        <v>2941.4437043372923</v>
      </c>
      <c r="F68" s="57">
        <f t="shared" si="6"/>
        <v>-1178.5074270656371</v>
      </c>
      <c r="G68" s="57">
        <f t="shared" si="0"/>
        <v>-2941.4437043372923</v>
      </c>
      <c r="H68" s="57">
        <f>-C67*Premissas!$C$30</f>
        <v>-221.32369480292664</v>
      </c>
      <c r="I68" s="58">
        <f t="shared" si="3"/>
        <v>-4346.7014197386134</v>
      </c>
    </row>
    <row r="69" spans="2:9" s="38" customFormat="1" ht="14.5" outlineLevel="1">
      <c r="B69" s="54">
        <f t="shared" si="4"/>
        <v>49</v>
      </c>
      <c r="C69" s="55">
        <f t="shared" si="5"/>
        <v>367435.61725272867</v>
      </c>
      <c r="D69" s="56">
        <f t="shared" si="1"/>
        <v>460.19426034414778</v>
      </c>
      <c r="E69" s="56">
        <f t="shared" si="2"/>
        <v>2935.7229252477864</v>
      </c>
      <c r="F69" s="57">
        <f t="shared" si="6"/>
        <v>-1179.9852829337121</v>
      </c>
      <c r="G69" s="57">
        <f t="shared" si="0"/>
        <v>-2935.7229252477864</v>
      </c>
      <c r="H69" s="57">
        <f>-C68*Premissas!$C$30</f>
        <v>-220.89324496519092</v>
      </c>
      <c r="I69" s="58">
        <f t="shared" si="3"/>
        <v>-4342.0222049631229</v>
      </c>
    </row>
    <row r="70" spans="2:9" s="38" customFormat="1" ht="14.5" outlineLevel="1">
      <c r="B70" s="54">
        <f t="shared" si="4"/>
        <v>50</v>
      </c>
      <c r="C70" s="55">
        <f t="shared" si="5"/>
        <v>366713.44676705106</v>
      </c>
      <c r="D70" s="56">
        <f t="shared" si="1"/>
        <v>459.29452156591083</v>
      </c>
      <c r="E70" s="56">
        <f t="shared" si="2"/>
        <v>2929.9832105541932</v>
      </c>
      <c r="F70" s="57">
        <f t="shared" si="6"/>
        <v>-1181.4650072435006</v>
      </c>
      <c r="G70" s="57">
        <f t="shared" si="0"/>
        <v>-2929.9832105541932</v>
      </c>
      <c r="H70" s="57">
        <f>-C69*Premissas!$C$30</f>
        <v>-220.46137035163719</v>
      </c>
      <c r="I70" s="58">
        <f t="shared" si="3"/>
        <v>-4337.3244751345173</v>
      </c>
    </row>
    <row r="71" spans="2:9" s="38" customFormat="1" ht="14.5" outlineLevel="1">
      <c r="B71" s="54">
        <f t="shared" si="4"/>
        <v>51</v>
      </c>
      <c r="C71" s="55">
        <f t="shared" si="5"/>
        <v>365988.89197303553</v>
      </c>
      <c r="D71" s="56">
        <f t="shared" si="1"/>
        <v>458.39180845881384</v>
      </c>
      <c r="E71" s="56">
        <f t="shared" si="2"/>
        <v>2924.2245216877905</v>
      </c>
      <c r="F71" s="57">
        <f t="shared" si="6"/>
        <v>-1182.9466024743583</v>
      </c>
      <c r="G71" s="57">
        <f t="shared" si="0"/>
        <v>-2924.2245216877905</v>
      </c>
      <c r="H71" s="57">
        <f>-C70*Premissas!$C$30</f>
        <v>-220.02806806023062</v>
      </c>
      <c r="I71" s="58">
        <f t="shared" si="3"/>
        <v>-4332.6081912126574</v>
      </c>
    </row>
    <row r="72" spans="2:9" s="38" customFormat="1" ht="14.5" outlineLevel="1">
      <c r="B72" s="54">
        <f t="shared" si="4"/>
        <v>52</v>
      </c>
      <c r="C72" s="55">
        <f t="shared" si="5"/>
        <v>365261.94801689166</v>
      </c>
      <c r="D72" s="56">
        <f t="shared" si="1"/>
        <v>457.48611496629439</v>
      </c>
      <c r="E72" s="56">
        <f t="shared" si="2"/>
        <v>2918.4468200118749</v>
      </c>
      <c r="F72" s="57">
        <f t="shared" si="6"/>
        <v>-1184.4300711101473</v>
      </c>
      <c r="G72" s="57">
        <f t="shared" si="0"/>
        <v>-2918.4468200118749</v>
      </c>
      <c r="H72" s="57">
        <f>-C71*Premissas!$C$30</f>
        <v>-219.5933351838213</v>
      </c>
      <c r="I72" s="58">
        <f t="shared" si="3"/>
        <v>-4327.8733140887252</v>
      </c>
    </row>
    <row r="73" spans="2:9" s="38" customFormat="1" ht="14.5" outlineLevel="1">
      <c r="B73" s="54">
        <f t="shared" si="4"/>
        <v>53</v>
      </c>
      <c r="C73" s="55">
        <f t="shared" si="5"/>
        <v>364532.61003627355</v>
      </c>
      <c r="D73" s="56">
        <f t="shared" si="1"/>
        <v>456.57743502111458</v>
      </c>
      <c r="E73" s="56">
        <f t="shared" si="2"/>
        <v>2912.6500668216408</v>
      </c>
      <c r="F73" s="57">
        <f t="shared" si="6"/>
        <v>-1185.9154156392588</v>
      </c>
      <c r="G73" s="57">
        <f t="shared" si="0"/>
        <v>-2912.6500668216408</v>
      </c>
      <c r="H73" s="57">
        <f>-C72*Premissas!$C$30</f>
        <v>-219.15716881013498</v>
      </c>
      <c r="I73" s="58">
        <f t="shared" si="3"/>
        <v>-4323.1198045851224</v>
      </c>
    </row>
    <row r="74" spans="2:9" s="38" customFormat="1" ht="14.5" outlineLevel="1">
      <c r="B74" s="54">
        <f t="shared" si="4"/>
        <v>54</v>
      </c>
      <c r="C74" s="55">
        <f t="shared" si="5"/>
        <v>363800.87316026428</v>
      </c>
      <c r="D74" s="56">
        <f t="shared" si="1"/>
        <v>455.66576254534192</v>
      </c>
      <c r="E74" s="56">
        <f t="shared" si="2"/>
        <v>2906.834223344059</v>
      </c>
      <c r="F74" s="57">
        <f t="shared" si="6"/>
        <v>-1187.402638554637</v>
      </c>
      <c r="G74" s="57">
        <f t="shared" si="0"/>
        <v>-2906.834223344059</v>
      </c>
      <c r="H74" s="57">
        <f>-C73*Premissas!$C$30</f>
        <v>-218.71956602176411</v>
      </c>
      <c r="I74" s="58">
        <f t="shared" si="3"/>
        <v>-4318.34762345536</v>
      </c>
    </row>
    <row r="75" spans="2:9" s="38" customFormat="1" ht="14.5" outlineLevel="1">
      <c r="B75" s="54">
        <f t="shared" si="4"/>
        <v>55</v>
      </c>
      <c r="C75" s="55">
        <f t="shared" si="5"/>
        <v>363066.73250936082</v>
      </c>
      <c r="D75" s="56">
        <f t="shared" si="1"/>
        <v>454.75109145033036</v>
      </c>
      <c r="E75" s="56">
        <f t="shared" si="2"/>
        <v>2900.9992507377538</v>
      </c>
      <c r="F75" s="57">
        <f t="shared" si="6"/>
        <v>-1188.8917423538048</v>
      </c>
      <c r="G75" s="57">
        <f t="shared" si="0"/>
        <v>-2900.9992507377538</v>
      </c>
      <c r="H75" s="57">
        <f>-C74*Premissas!$C$30</f>
        <v>-218.28052389615854</v>
      </c>
      <c r="I75" s="58">
        <f t="shared" si="3"/>
        <v>-4313.556731383952</v>
      </c>
    </row>
    <row r="76" spans="2:9" s="38" customFormat="1" ht="14.5" outlineLevel="1">
      <c r="B76" s="54">
        <f t="shared" si="4"/>
        <v>56</v>
      </c>
      <c r="C76" s="55">
        <f t="shared" si="5"/>
        <v>362330.18319545861</v>
      </c>
      <c r="D76" s="56">
        <f t="shared" si="1"/>
        <v>453.83341563670103</v>
      </c>
      <c r="E76" s="56">
        <f t="shared" si="2"/>
        <v>2895.145110092883</v>
      </c>
      <c r="F76" s="57">
        <f t="shared" si="6"/>
        <v>-1190.382729538888</v>
      </c>
      <c r="G76" s="57">
        <f t="shared" si="0"/>
        <v>-2895.145110092883</v>
      </c>
      <c r="H76" s="57">
        <f>-C75*Premissas!$C$30</f>
        <v>-217.84003950561649</v>
      </c>
      <c r="I76" s="58">
        <f t="shared" si="3"/>
        <v>-4308.7470889863098</v>
      </c>
    </row>
    <row r="77" spans="2:9" s="38" customFormat="1" ht="14.5" outlineLevel="1">
      <c r="B77" s="54">
        <f t="shared" si="4"/>
        <v>57</v>
      </c>
      <c r="C77" s="55">
        <f t="shared" si="5"/>
        <v>361591.2203218363</v>
      </c>
      <c r="D77" s="56">
        <f t="shared" si="1"/>
        <v>452.91272899432329</v>
      </c>
      <c r="E77" s="56">
        <f t="shared" si="2"/>
        <v>2889.2717624310139</v>
      </c>
      <c r="F77" s="57">
        <f t="shared" si="6"/>
        <v>-1191.8756026166402</v>
      </c>
      <c r="G77" s="57">
        <f t="shared" si="0"/>
        <v>-2889.2717624310139</v>
      </c>
      <c r="H77" s="57">
        <f>-C76*Premissas!$C$30</f>
        <v>-217.39810991727515</v>
      </c>
      <c r="I77" s="58">
        <f t="shared" si="3"/>
        <v>-4303.9186568086352</v>
      </c>
    </row>
    <row r="78" spans="2:9" s="38" customFormat="1" ht="14.5" outlineLevel="1">
      <c r="B78" s="54">
        <f t="shared" si="4"/>
        <v>58</v>
      </c>
      <c r="C78" s="55">
        <f t="shared" si="5"/>
        <v>360849.83898314013</v>
      </c>
      <c r="D78" s="56">
        <f t="shared" si="1"/>
        <v>451.9890254022954</v>
      </c>
      <c r="E78" s="56">
        <f t="shared" si="2"/>
        <v>2883.3791687050034</v>
      </c>
      <c r="F78" s="57">
        <f t="shared" si="6"/>
        <v>-1193.3703640984697</v>
      </c>
      <c r="G78" s="57">
        <f t="shared" si="0"/>
        <v>-2883.3791687050034</v>
      </c>
      <c r="H78" s="57">
        <f>-C77*Premissas!$C$30</f>
        <v>-216.95473219310176</v>
      </c>
      <c r="I78" s="58">
        <f t="shared" si="3"/>
        <v>-4299.07139532782</v>
      </c>
    </row>
    <row r="79" spans="2:9" s="38" customFormat="1" ht="14.5" outlineLevel="1">
      <c r="B79" s="54">
        <f t="shared" si="4"/>
        <v>59</v>
      </c>
      <c r="C79" s="55">
        <f t="shared" si="5"/>
        <v>360106.03426536859</v>
      </c>
      <c r="D79" s="56">
        <f t="shared" si="1"/>
        <v>451.06229872892516</v>
      </c>
      <c r="E79" s="56">
        <f t="shared" si="2"/>
        <v>2877.4672897988712</v>
      </c>
      <c r="F79" s="57">
        <f t="shared" si="6"/>
        <v>-1194.8670165004639</v>
      </c>
      <c r="G79" s="57">
        <f t="shared" si="0"/>
        <v>-2877.4672897988712</v>
      </c>
      <c r="H79" s="57">
        <f>-C78*Premissas!$C$30</f>
        <v>-216.50990338988404</v>
      </c>
      <c r="I79" s="58">
        <f t="shared" si="3"/>
        <v>-4294.2052649513307</v>
      </c>
    </row>
    <row r="80" spans="2:9" s="38" customFormat="1" ht="14.5" outlineLevel="1">
      <c r="B80" s="54">
        <f t="shared" si="4"/>
        <v>60</v>
      </c>
      <c r="C80" s="55">
        <f t="shared" si="5"/>
        <v>359359.80124585686</v>
      </c>
      <c r="D80" s="56">
        <f t="shared" si="1"/>
        <v>450.13254283171074</v>
      </c>
      <c r="E80" s="56">
        <f t="shared" si="2"/>
        <v>2871.5360865276798</v>
      </c>
      <c r="F80" s="57">
        <f t="shared" si="6"/>
        <v>-1196.3655623434172</v>
      </c>
      <c r="G80" s="57">
        <f t="shared" si="0"/>
        <v>-2871.5360865276798</v>
      </c>
      <c r="H80" s="57">
        <f>-C79*Premissas!$C$30</f>
        <v>-216.06362055922114</v>
      </c>
      <c r="I80" s="58">
        <f t="shared" si="3"/>
        <v>-4289.3202260171056</v>
      </c>
    </row>
    <row r="81" spans="2:9" s="38" customFormat="1" ht="14.5" outlineLevel="1">
      <c r="B81" s="54">
        <f t="shared" si="4"/>
        <v>61</v>
      </c>
      <c r="C81" s="55">
        <f t="shared" si="5"/>
        <v>358611.13499326131</v>
      </c>
      <c r="D81" s="56">
        <f t="shared" si="1"/>
        <v>449.19975155732106</v>
      </c>
      <c r="E81" s="56">
        <f t="shared" si="2"/>
        <v>2865.5855196374087</v>
      </c>
      <c r="F81" s="57">
        <f t="shared" si="6"/>
        <v>-1197.8660041528562</v>
      </c>
      <c r="G81" s="57">
        <f t="shared" si="0"/>
        <v>-2865.5855196374087</v>
      </c>
      <c r="H81" s="57">
        <f>-C80*Premissas!$C$30</f>
        <v>-215.6158807475141</v>
      </c>
      <c r="I81" s="58">
        <f t="shared" si="3"/>
        <v>-4284.4162387934512</v>
      </c>
    </row>
    <row r="82" spans="2:9" s="38" customFormat="1" ht="14.5" outlineLevel="1">
      <c r="B82" s="54">
        <f t="shared" si="4"/>
        <v>62</v>
      </c>
      <c r="C82" s="55">
        <f t="shared" si="5"/>
        <v>357860.03056754381</v>
      </c>
      <c r="D82" s="56">
        <f t="shared" si="1"/>
        <v>448.26391874157662</v>
      </c>
      <c r="E82" s="56">
        <f t="shared" si="2"/>
        <v>2859.6155498048306</v>
      </c>
      <c r="F82" s="57">
        <f t="shared" si="6"/>
        <v>-1199.3683444590679</v>
      </c>
      <c r="G82" s="57">
        <f t="shared" si="0"/>
        <v>-2859.6155498048306</v>
      </c>
      <c r="H82" s="57">
        <f>-C81*Premissas!$C$30</f>
        <v>-215.16668099595677</v>
      </c>
      <c r="I82" s="58">
        <f t="shared" si="3"/>
        <v>-4279.4932634789293</v>
      </c>
    </row>
    <row r="83" spans="2:9" s="38" customFormat="1" ht="14.5" outlineLevel="1">
      <c r="B83" s="54">
        <f t="shared" si="4"/>
        <v>63</v>
      </c>
      <c r="C83" s="55">
        <f t="shared" si="5"/>
        <v>357106.48301995615</v>
      </c>
      <c r="D83" s="56">
        <f t="shared" si="1"/>
        <v>447.32503820942975</v>
      </c>
      <c r="E83" s="56">
        <f t="shared" si="2"/>
        <v>2853.6261376373882</v>
      </c>
      <c r="F83" s="57">
        <f t="shared" si="6"/>
        <v>-1200.8725857971269</v>
      </c>
      <c r="G83" s="57">
        <f t="shared" si="0"/>
        <v>-2853.6261376373882</v>
      </c>
      <c r="H83" s="57">
        <f>-C82*Premissas!$C$30</f>
        <v>-214.71601834052626</v>
      </c>
      <c r="I83" s="58">
        <f t="shared" si="3"/>
        <v>-4274.5512602022609</v>
      </c>
    </row>
    <row r="84" spans="2:9" s="38" customFormat="1" ht="14.5" outlineLevel="1">
      <c r="B84" s="54">
        <f t="shared" si="4"/>
        <v>64</v>
      </c>
      <c r="C84" s="55">
        <f t="shared" si="5"/>
        <v>356350.48739302414</v>
      </c>
      <c r="D84" s="56">
        <f t="shared" si="1"/>
        <v>446.3831037749452</v>
      </c>
      <c r="E84" s="56">
        <f t="shared" si="2"/>
        <v>2847.6172436730681</v>
      </c>
      <c r="F84" s="57">
        <f t="shared" si="6"/>
        <v>-1202.3787307069231</v>
      </c>
      <c r="G84" s="57">
        <f t="shared" si="0"/>
        <v>-2847.6172436730681</v>
      </c>
      <c r="H84" s="57">
        <f>-C83*Premissas!$C$30</f>
        <v>-214.26388981197368</v>
      </c>
      <c r="I84" s="58">
        <f t="shared" si="3"/>
        <v>-4269.5901890222049</v>
      </c>
    </row>
    <row r="85" spans="2:9" s="38" customFormat="1" ht="14.5" outlineLevel="1">
      <c r="B85" s="54">
        <f t="shared" si="4"/>
        <v>65</v>
      </c>
      <c r="C85" s="55">
        <f t="shared" si="5"/>
        <v>355592.0387205322</v>
      </c>
      <c r="D85" s="56">
        <f t="shared" si="1"/>
        <v>445.43810924128019</v>
      </c>
      <c r="E85" s="56">
        <f t="shared" si="2"/>
        <v>2841.5888283802751</v>
      </c>
      <c r="F85" s="57">
        <f t="shared" si="6"/>
        <v>-1203.8867817331898</v>
      </c>
      <c r="G85" s="57">
        <f t="shared" ref="G85:G148" si="7">-E85</f>
        <v>-2841.5888283802751</v>
      </c>
      <c r="H85" s="57">
        <f>-C84*Premissas!$C$30</f>
        <v>-213.81029243581446</v>
      </c>
      <c r="I85" s="58">
        <f t="shared" si="3"/>
        <v>-4264.6100099274654</v>
      </c>
    </row>
    <row r="86" spans="2:9" s="38" customFormat="1" ht="14.5" outlineLevel="1">
      <c r="B86" s="54">
        <f t="shared" si="4"/>
        <v>66</v>
      </c>
      <c r="C86" s="55">
        <f t="shared" si="5"/>
        <v>354831.13202750729</v>
      </c>
      <c r="D86" s="56">
        <f t="shared" ref="D86:D149" si="8">C85*(TR/12)</f>
        <v>444.49004840066527</v>
      </c>
      <c r="E86" s="56">
        <f t="shared" ref="E86:E149" si="9">C85*$C$9</f>
        <v>2835.5408521577087</v>
      </c>
      <c r="F86" s="57">
        <f t="shared" si="6"/>
        <v>-1205.3967414255328</v>
      </c>
      <c r="G86" s="57">
        <f t="shared" si="7"/>
        <v>-2835.5408521577087</v>
      </c>
      <c r="H86" s="57">
        <f>-C85*Premissas!$C$30</f>
        <v>-213.3552232323193</v>
      </c>
      <c r="I86" s="58">
        <f t="shared" ref="I86:I149" si="10">SUM(F86:H86)*(1+TR/12)</f>
        <v>-4259.6106828365801</v>
      </c>
    </row>
    <row r="87" spans="2:9" s="38" customFormat="1" ht="14.5" outlineLevel="1">
      <c r="B87" s="54">
        <f t="shared" ref="B87:B150" si="11">B86+1</f>
        <v>67</v>
      </c>
      <c r="C87" s="55">
        <f t="shared" ref="C87:C150" si="12">C86+F87+D87</f>
        <v>354067.7623302032</v>
      </c>
      <c r="D87" s="56">
        <f t="shared" si="8"/>
        <v>443.5389150343841</v>
      </c>
      <c r="E87" s="56">
        <f t="shared" si="9"/>
        <v>2829.473275334235</v>
      </c>
      <c r="F87" s="57">
        <f t="shared" ref="F87:F150" si="13">IFERROR(-C86/($C$5-B86),"n/a")</f>
        <v>-1206.9086123384602</v>
      </c>
      <c r="G87" s="57">
        <f t="shared" si="7"/>
        <v>-2829.473275334235</v>
      </c>
      <c r="H87" s="57">
        <f>-C86*Premissas!$C$30</f>
        <v>-212.89867921650435</v>
      </c>
      <c r="I87" s="58">
        <f t="shared" si="10"/>
        <v>-4254.5921675978107</v>
      </c>
    </row>
    <row r="88" spans="2:9" s="38" customFormat="1" ht="14.5" outlineLevel="1">
      <c r="B88" s="54">
        <f t="shared" si="11"/>
        <v>68</v>
      </c>
      <c r="C88" s="55">
        <f t="shared" si="12"/>
        <v>353301.92463608459</v>
      </c>
      <c r="D88" s="56">
        <f t="shared" si="8"/>
        <v>442.58470291275398</v>
      </c>
      <c r="E88" s="56">
        <f t="shared" si="9"/>
        <v>2823.3860581687627</v>
      </c>
      <c r="F88" s="57">
        <f t="shared" si="13"/>
        <v>-1208.4223970314101</v>
      </c>
      <c r="G88" s="57">
        <f t="shared" si="7"/>
        <v>-2823.3860581687627</v>
      </c>
      <c r="H88" s="57">
        <f>-C87*Premissas!$C$30</f>
        <v>-212.44065739812191</v>
      </c>
      <c r="I88" s="58">
        <f t="shared" si="10"/>
        <v>-4249.5544239890432</v>
      </c>
    </row>
    <row r="89" spans="2:9" s="38" customFormat="1" ht="14.5" outlineLevel="1">
      <c r="B89" s="54">
        <f t="shared" si="11"/>
        <v>69</v>
      </c>
      <c r="C89" s="55">
        <f t="shared" si="12"/>
        <v>352533.61394381092</v>
      </c>
      <c r="D89" s="56">
        <f t="shared" si="8"/>
        <v>441.62740579510574</v>
      </c>
      <c r="E89" s="56">
        <f t="shared" si="9"/>
        <v>2817.2791608501129</v>
      </c>
      <c r="F89" s="57">
        <f t="shared" si="13"/>
        <v>-1209.9380980687829</v>
      </c>
      <c r="G89" s="57">
        <f t="shared" si="7"/>
        <v>-2817.2791608501129</v>
      </c>
      <c r="H89" s="57">
        <f>-C88*Premissas!$C$30</f>
        <v>-211.98115478165073</v>
      </c>
      <c r="I89" s="58">
        <f t="shared" si="10"/>
        <v>-4244.4974117176725</v>
      </c>
    </row>
    <row r="90" spans="2:9" s="38" customFormat="1" ht="14.5" outlineLevel="1">
      <c r="B90" s="54">
        <f t="shared" si="11"/>
        <v>70</v>
      </c>
      <c r="C90" s="55">
        <f t="shared" si="12"/>
        <v>351762.82524322072</v>
      </c>
      <c r="D90" s="56">
        <f t="shared" si="8"/>
        <v>440.66701742976369</v>
      </c>
      <c r="E90" s="56">
        <f t="shared" si="9"/>
        <v>2811.1525434968944</v>
      </c>
      <c r="F90" s="57">
        <f t="shared" si="13"/>
        <v>-1211.4557180199688</v>
      </c>
      <c r="G90" s="57">
        <f t="shared" si="7"/>
        <v>-2811.1525434968944</v>
      </c>
      <c r="H90" s="57">
        <f>-C89*Premissas!$C$30</f>
        <v>-211.52016836628653</v>
      </c>
      <c r="I90" s="58">
        <f t="shared" si="10"/>
        <v>-4239.4210904205038</v>
      </c>
    </row>
    <row r="91" spans="2:9" s="38" customFormat="1" ht="14.5" outlineLevel="1">
      <c r="B91" s="54">
        <f t="shared" si="11"/>
        <v>71</v>
      </c>
      <c r="C91" s="55">
        <f t="shared" si="12"/>
        <v>350989.55351531535</v>
      </c>
      <c r="D91" s="56">
        <f t="shared" si="8"/>
        <v>439.70353155402591</v>
      </c>
      <c r="E91" s="56">
        <f t="shared" si="9"/>
        <v>2805.0061661573759</v>
      </c>
      <c r="F91" s="57">
        <f t="shared" si="13"/>
        <v>-1212.9752594593817</v>
      </c>
      <c r="G91" s="57">
        <f t="shared" si="7"/>
        <v>-2805.0061661573759</v>
      </c>
      <c r="H91" s="57">
        <f>-C90*Premissas!$C$30</f>
        <v>-211.05769514593243</v>
      </c>
      <c r="I91" s="58">
        <f t="shared" si="10"/>
        <v>-4234.3254196636435</v>
      </c>
    </row>
    <row r="92" spans="2:9" s="38" customFormat="1" ht="14.5" outlineLevel="1">
      <c r="B92" s="54">
        <f t="shared" si="11"/>
        <v>72</v>
      </c>
      <c r="C92" s="55">
        <f t="shared" si="12"/>
        <v>350213.79373224301</v>
      </c>
      <c r="D92" s="56">
        <f t="shared" si="8"/>
        <v>438.73694189414419</v>
      </c>
      <c r="E92" s="56">
        <f t="shared" si="9"/>
        <v>2798.8399888093572</v>
      </c>
      <c r="F92" s="57">
        <f t="shared" si="13"/>
        <v>-1214.4967249664892</v>
      </c>
      <c r="G92" s="57">
        <f t="shared" si="7"/>
        <v>-2798.8399888093572</v>
      </c>
      <c r="H92" s="57">
        <f>-C91*Premissas!$C$30</f>
        <v>-210.59373210918918</v>
      </c>
      <c r="I92" s="58">
        <f t="shared" si="10"/>
        <v>-4229.2103589423914</v>
      </c>
    </row>
    <row r="93" spans="2:9" s="38" customFormat="1" ht="14.5" outlineLevel="1">
      <c r="B93" s="54">
        <f t="shared" si="11"/>
        <v>73</v>
      </c>
      <c r="C93" s="55">
        <f t="shared" si="12"/>
        <v>349435.54085728247</v>
      </c>
      <c r="D93" s="56">
        <f t="shared" si="8"/>
        <v>437.76724216530374</v>
      </c>
      <c r="E93" s="56">
        <f t="shared" si="9"/>
        <v>2792.6539713600428</v>
      </c>
      <c r="F93" s="57">
        <f t="shared" si="13"/>
        <v>-1216.0201171258439</v>
      </c>
      <c r="G93" s="57">
        <f t="shared" si="7"/>
        <v>-2792.6539713600428</v>
      </c>
      <c r="H93" s="57">
        <f>-C92*Premissas!$C$30</f>
        <v>-210.12827623934578</v>
      </c>
      <c r="I93" s="58">
        <f t="shared" si="10"/>
        <v>-4224.0758676811383</v>
      </c>
    </row>
    <row r="94" spans="2:9" s="38" customFormat="1" ht="14.5" outlineLevel="1">
      <c r="B94" s="54">
        <f t="shared" si="11"/>
        <v>74</v>
      </c>
      <c r="C94" s="55">
        <f t="shared" si="12"/>
        <v>348654.78984482691</v>
      </c>
      <c r="D94" s="56">
        <f t="shared" si="8"/>
        <v>436.79442607160308</v>
      </c>
      <c r="E94" s="56">
        <f t="shared" si="9"/>
        <v>2786.4480736459091</v>
      </c>
      <c r="F94" s="57">
        <f t="shared" si="13"/>
        <v>-1217.5454385271166</v>
      </c>
      <c r="G94" s="57">
        <f t="shared" si="7"/>
        <v>-2786.4480736459091</v>
      </c>
      <c r="H94" s="57">
        <f>-C93*Premissas!$C$30</f>
        <v>-209.66132451436945</v>
      </c>
      <c r="I94" s="58">
        <f t="shared" si="10"/>
        <v>-4218.9219052332546</v>
      </c>
    </row>
    <row r="95" spans="2:9" s="38" customFormat="1" ht="14.5" outlineLevel="1">
      <c r="B95" s="54">
        <f t="shared" si="11"/>
        <v>75</v>
      </c>
      <c r="C95" s="55">
        <f t="shared" si="12"/>
        <v>347871.53564036777</v>
      </c>
      <c r="D95" s="56">
        <f t="shared" si="8"/>
        <v>435.81848730603366</v>
      </c>
      <c r="E95" s="56">
        <f t="shared" si="9"/>
        <v>2780.2222554325799</v>
      </c>
      <c r="F95" s="57">
        <f t="shared" si="13"/>
        <v>-1219.0726917651291</v>
      </c>
      <c r="G95" s="57">
        <f t="shared" si="7"/>
        <v>-2780.2222554325799</v>
      </c>
      <c r="H95" s="57">
        <f>-C94*Premissas!$C$30</f>
        <v>-209.19287390689612</v>
      </c>
      <c r="I95" s="58">
        <f t="shared" si="10"/>
        <v>-4213.7484308809862</v>
      </c>
    </row>
    <row r="96" spans="2:9" s="38" customFormat="1" ht="14.5" outlineLevel="1">
      <c r="B96" s="54">
        <f t="shared" si="11"/>
        <v>76</v>
      </c>
      <c r="C96" s="55">
        <f t="shared" si="12"/>
        <v>347085.77318047831</v>
      </c>
      <c r="D96" s="56">
        <f t="shared" si="8"/>
        <v>434.83941955045975</v>
      </c>
      <c r="E96" s="56">
        <f t="shared" si="9"/>
        <v>2773.9764764146935</v>
      </c>
      <c r="F96" s="57">
        <f t="shared" si="13"/>
        <v>-1220.6018794398869</v>
      </c>
      <c r="G96" s="57">
        <f t="shared" si="7"/>
        <v>-2773.9764764146935</v>
      </c>
      <c r="H96" s="57">
        <f>-C95*Premissas!$C$30</f>
        <v>-208.72292138422065</v>
      </c>
      <c r="I96" s="58">
        <f t="shared" si="10"/>
        <v>-4208.5554038353494</v>
      </c>
    </row>
    <row r="97" spans="2:9" s="38" customFormat="1" ht="14.5" outlineLevel="1">
      <c r="B97" s="54">
        <f t="shared" si="11"/>
        <v>77</v>
      </c>
      <c r="C97" s="55">
        <f t="shared" si="12"/>
        <v>346297.49739279726</v>
      </c>
      <c r="D97" s="56">
        <f t="shared" si="8"/>
        <v>433.85721647559791</v>
      </c>
      <c r="E97" s="56">
        <f t="shared" si="9"/>
        <v>2767.7106962157741</v>
      </c>
      <c r="F97" s="57">
        <f t="shared" si="13"/>
        <v>-1222.1330041566139</v>
      </c>
      <c r="G97" s="57">
        <f t="shared" si="7"/>
        <v>-2767.7106962157741</v>
      </c>
      <c r="H97" s="57">
        <f>-C96*Premissas!$C$30</f>
        <v>-208.25146390828698</v>
      </c>
      <c r="I97" s="58">
        <f t="shared" si="10"/>
        <v>-4203.3427832360258</v>
      </c>
    </row>
    <row r="98" spans="2:9" s="38" customFormat="1" ht="14.5" outlineLevel="1">
      <c r="B98" s="54">
        <f t="shared" si="11"/>
        <v>78</v>
      </c>
      <c r="C98" s="55">
        <f t="shared" si="12"/>
        <v>345506.70319601247</v>
      </c>
      <c r="D98" s="56">
        <f t="shared" si="8"/>
        <v>432.8718717409966</v>
      </c>
      <c r="E98" s="56">
        <f t="shared" si="9"/>
        <v>2761.4248743881008</v>
      </c>
      <c r="F98" s="57">
        <f t="shared" si="13"/>
        <v>-1223.6660685257855</v>
      </c>
      <c r="G98" s="57">
        <f t="shared" si="7"/>
        <v>-2761.4248743881008</v>
      </c>
      <c r="H98" s="57">
        <f>-C97*Premissas!$C$30</f>
        <v>-207.77849843567833</v>
      </c>
      <c r="I98" s="58">
        <f t="shared" si="10"/>
        <v>-4198.1105281512519</v>
      </c>
    </row>
    <row r="99" spans="2:9" s="38" customFormat="1" ht="14.5" outlineLevel="1">
      <c r="B99" s="54">
        <f t="shared" si="11"/>
        <v>79</v>
      </c>
      <c r="C99" s="55">
        <f t="shared" si="12"/>
        <v>344713.38549984433</v>
      </c>
      <c r="D99" s="56">
        <f t="shared" si="8"/>
        <v>431.88337899501562</v>
      </c>
      <c r="E99" s="56">
        <f t="shared" si="9"/>
        <v>2755.1189704125763</v>
      </c>
      <c r="F99" s="57">
        <f t="shared" si="13"/>
        <v>-1225.2010751631649</v>
      </c>
      <c r="G99" s="57">
        <f t="shared" si="7"/>
        <v>-2755.1189704125763</v>
      </c>
      <c r="H99" s="57">
        <f>-C98*Premissas!$C$30</f>
        <v>-207.30402191760746</v>
      </c>
      <c r="I99" s="58">
        <f t="shared" si="10"/>
        <v>-4192.858597577715</v>
      </c>
    </row>
    <row r="100" spans="2:9" s="38" customFormat="1" ht="14.5" outlineLevel="1">
      <c r="B100" s="54">
        <f t="shared" si="11"/>
        <v>80</v>
      </c>
      <c r="C100" s="55">
        <f t="shared" si="12"/>
        <v>343917.53920502926</v>
      </c>
      <c r="D100" s="56">
        <f t="shared" si="8"/>
        <v>430.89173187480543</v>
      </c>
      <c r="E100" s="56">
        <f t="shared" si="9"/>
        <v>2748.7929436985974</v>
      </c>
      <c r="F100" s="57">
        <f t="shared" si="13"/>
        <v>-1226.7380266898374</v>
      </c>
      <c r="G100" s="57">
        <f t="shared" si="7"/>
        <v>-2748.7929436985974</v>
      </c>
      <c r="H100" s="57">
        <f>-C99*Premissas!$C$30</f>
        <v>-206.82803129990657</v>
      </c>
      <c r="I100" s="58">
        <f t="shared" si="10"/>
        <v>-4187.5869504404518</v>
      </c>
    </row>
    <row r="101" spans="2:9" s="38" customFormat="1" ht="14.5" outlineLevel="1">
      <c r="B101" s="54">
        <f t="shared" si="11"/>
        <v>81</v>
      </c>
      <c r="C101" s="55">
        <f t="shared" si="12"/>
        <v>343119.15920330328</v>
      </c>
      <c r="D101" s="56">
        <f t="shared" si="8"/>
        <v>429.89692400628655</v>
      </c>
      <c r="E101" s="56">
        <f t="shared" si="9"/>
        <v>2742.446753583919</v>
      </c>
      <c r="F101" s="57">
        <f t="shared" si="13"/>
        <v>-1228.2769257322473</v>
      </c>
      <c r="G101" s="57">
        <f t="shared" si="7"/>
        <v>-2742.446753583919</v>
      </c>
      <c r="H101" s="57">
        <f>-C100*Premissas!$C$30</f>
        <v>-206.35052352301753</v>
      </c>
      <c r="I101" s="58">
        <f t="shared" si="10"/>
        <v>-4182.2955455927331</v>
      </c>
    </row>
    <row r="102" spans="2:9" s="38" customFormat="1" ht="14.5" outlineLevel="1">
      <c r="B102" s="54">
        <f t="shared" si="11"/>
        <v>82</v>
      </c>
      <c r="C102" s="55">
        <f t="shared" si="12"/>
        <v>342318.24037738517</v>
      </c>
      <c r="D102" s="56">
        <f t="shared" si="8"/>
        <v>428.89894900412912</v>
      </c>
      <c r="E102" s="56">
        <f t="shared" si="9"/>
        <v>2736.0803593345277</v>
      </c>
      <c r="F102" s="57">
        <f t="shared" si="13"/>
        <v>-1229.8177749222339</v>
      </c>
      <c r="G102" s="57">
        <f t="shared" si="7"/>
        <v>-2736.0803593345277</v>
      </c>
      <c r="H102" s="57">
        <f>-C101*Premissas!$C$30</f>
        <v>-205.87149552198196</v>
      </c>
      <c r="I102" s="58">
        <f t="shared" si="10"/>
        <v>-4176.9843418159671</v>
      </c>
    </row>
    <row r="103" spans="2:9" s="38" customFormat="1" ht="14.5" outlineLevel="1">
      <c r="B103" s="54">
        <f t="shared" si="11"/>
        <v>83</v>
      </c>
      <c r="C103" s="55">
        <f t="shared" si="12"/>
        <v>341514.77760095987</v>
      </c>
      <c r="D103" s="56">
        <f t="shared" si="8"/>
        <v>427.89780047173144</v>
      </c>
      <c r="E103" s="56">
        <f t="shared" si="9"/>
        <v>2729.6937201445039</v>
      </c>
      <c r="F103" s="57">
        <f t="shared" si="13"/>
        <v>-1231.360576897069</v>
      </c>
      <c r="G103" s="57">
        <f t="shared" si="7"/>
        <v>-2729.6937201445039</v>
      </c>
      <c r="H103" s="57">
        <f>-C102*Premissas!$C$30</f>
        <v>-205.39094422643109</v>
      </c>
      <c r="I103" s="58">
        <f t="shared" si="10"/>
        <v>-4171.6532978195892</v>
      </c>
    </row>
    <row r="104" spans="2:9" s="38" customFormat="1" ht="14.5" outlineLevel="1">
      <c r="B104" s="54">
        <f t="shared" si="11"/>
        <v>84</v>
      </c>
      <c r="C104" s="55">
        <f t="shared" si="12"/>
        <v>340708.76573866158</v>
      </c>
      <c r="D104" s="56">
        <f t="shared" si="8"/>
        <v>426.89347200119983</v>
      </c>
      <c r="E104" s="56">
        <f t="shared" si="9"/>
        <v>2723.2867951358917</v>
      </c>
      <c r="F104" s="57">
        <f t="shared" si="13"/>
        <v>-1232.9053342994941</v>
      </c>
      <c r="G104" s="57">
        <f t="shared" si="7"/>
        <v>-2723.2867951358917</v>
      </c>
      <c r="H104" s="57">
        <f>-C103*Premissas!$C$30</f>
        <v>-204.90886656057592</v>
      </c>
      <c r="I104" s="58">
        <f t="shared" si="10"/>
        <v>-4166.3023722409571</v>
      </c>
    </row>
    <row r="105" spans="2:9" s="38" customFormat="1" ht="14.5" outlineLevel="1">
      <c r="B105" s="54">
        <f t="shared" si="11"/>
        <v>85</v>
      </c>
      <c r="C105" s="55">
        <f t="shared" si="12"/>
        <v>339900.1996460571</v>
      </c>
      <c r="D105" s="56">
        <f t="shared" si="8"/>
        <v>425.88595717332697</v>
      </c>
      <c r="E105" s="56">
        <f t="shared" si="9"/>
        <v>2716.8595433585629</v>
      </c>
      <c r="F105" s="57">
        <f t="shared" si="13"/>
        <v>-1234.4520497777594</v>
      </c>
      <c r="G105" s="57">
        <f t="shared" si="7"/>
        <v>-2716.8595433585629</v>
      </c>
      <c r="H105" s="57">
        <f>-C104*Premissas!$C$30</f>
        <v>-204.42525944319692</v>
      </c>
      <c r="I105" s="58">
        <f t="shared" si="10"/>
        <v>-4160.931523645243</v>
      </c>
    </row>
    <row r="106" spans="2:9" s="38" customFormat="1" ht="14.5" outlineLevel="1">
      <c r="B106" s="54">
        <f t="shared" si="11"/>
        <v>86</v>
      </c>
      <c r="C106" s="55">
        <f t="shared" si="12"/>
        <v>339089.07416962896</v>
      </c>
      <c r="D106" s="56">
        <f t="shared" si="8"/>
        <v>424.87524955757135</v>
      </c>
      <c r="E106" s="56">
        <f t="shared" si="9"/>
        <v>2710.411923790085</v>
      </c>
      <c r="F106" s="57">
        <f t="shared" si="13"/>
        <v>-1236.0007259856623</v>
      </c>
      <c r="G106" s="57">
        <f t="shared" si="7"/>
        <v>-2710.411923790085</v>
      </c>
      <c r="H106" s="57">
        <f>-C105*Premissas!$C$30</f>
        <v>-203.94011978763425</v>
      </c>
      <c r="I106" s="58">
        <f t="shared" si="10"/>
        <v>-4155.5407105253353</v>
      </c>
    </row>
    <row r="107" spans="2:9" s="38" customFormat="1" ht="14.5" outlineLevel="1">
      <c r="B107" s="54">
        <f t="shared" si="11"/>
        <v>87</v>
      </c>
      <c r="C107" s="55">
        <f t="shared" si="12"/>
        <v>338275.38414675841</v>
      </c>
      <c r="D107" s="56">
        <f t="shared" si="8"/>
        <v>423.86134271203622</v>
      </c>
      <c r="E107" s="56">
        <f t="shared" si="9"/>
        <v>2703.9438953355852</v>
      </c>
      <c r="F107" s="57">
        <f t="shared" si="13"/>
        <v>-1237.5513655825876</v>
      </c>
      <c r="G107" s="57">
        <f t="shared" si="7"/>
        <v>-2703.9438953355852</v>
      </c>
      <c r="H107" s="57">
        <f>-C106*Premissas!$C$30</f>
        <v>-203.45344450177737</v>
      </c>
      <c r="I107" s="58">
        <f t="shared" si="10"/>
        <v>-4150.1298913017245</v>
      </c>
    </row>
    <row r="108" spans="2:9" s="38" customFormat="1" ht="14.5" outlineLevel="1">
      <c r="B108" s="54">
        <f t="shared" si="11"/>
        <v>88</v>
      </c>
      <c r="C108" s="55">
        <f t="shared" si="12"/>
        <v>337459.12440570834</v>
      </c>
      <c r="D108" s="56">
        <f t="shared" si="8"/>
        <v>422.84423018344802</v>
      </c>
      <c r="E108" s="56">
        <f t="shared" si="9"/>
        <v>2697.4554168276177</v>
      </c>
      <c r="F108" s="57">
        <f t="shared" si="13"/>
        <v>-1239.1039712335473</v>
      </c>
      <c r="G108" s="57">
        <f t="shared" si="7"/>
        <v>-2697.4554168276177</v>
      </c>
      <c r="H108" s="57">
        <f>-C107*Premissas!$C$30</f>
        <v>-202.96523048805503</v>
      </c>
      <c r="I108" s="58">
        <f t="shared" si="10"/>
        <v>-4144.6990243224063</v>
      </c>
    </row>
    <row r="109" spans="2:9" s="38" customFormat="1" ht="14.5" outlineLevel="1">
      <c r="B109" s="54">
        <f t="shared" si="11"/>
        <v>89</v>
      </c>
      <c r="C109" s="55">
        <f t="shared" si="12"/>
        <v>336640.28976560629</v>
      </c>
      <c r="D109" s="56">
        <f t="shared" si="8"/>
        <v>421.82390550713541</v>
      </c>
      <c r="E109" s="56">
        <f t="shared" si="9"/>
        <v>2690.9464470260236</v>
      </c>
      <c r="F109" s="57">
        <f t="shared" si="13"/>
        <v>-1240.6585456092218</v>
      </c>
      <c r="G109" s="57">
        <f t="shared" si="7"/>
        <v>-2690.9464470260236</v>
      </c>
      <c r="H109" s="57">
        <f>-C108*Premissas!$C$30</f>
        <v>-202.47547464342497</v>
      </c>
      <c r="I109" s="58">
        <f t="shared" si="10"/>
        <v>-4139.248067862768</v>
      </c>
    </row>
    <row r="110" spans="2:9" s="38" customFormat="1" ht="14.5" outlineLevel="1">
      <c r="B110" s="54">
        <f t="shared" si="11"/>
        <v>90</v>
      </c>
      <c r="C110" s="55">
        <f t="shared" si="12"/>
        <v>335818.87503642729</v>
      </c>
      <c r="D110" s="56">
        <f t="shared" si="8"/>
        <v>420.80036220700788</v>
      </c>
      <c r="E110" s="56">
        <f t="shared" si="9"/>
        <v>2684.4169446177993</v>
      </c>
      <c r="F110" s="57">
        <f t="shared" si="13"/>
        <v>-1242.2150913860009</v>
      </c>
      <c r="G110" s="57">
        <f t="shared" si="7"/>
        <v>-2684.4169446177993</v>
      </c>
      <c r="H110" s="57">
        <f>-C109*Premissas!$C$30</f>
        <v>-201.98417385936375</v>
      </c>
      <c r="I110" s="58">
        <f t="shared" si="10"/>
        <v>-4133.7769801254926</v>
      </c>
    </row>
    <row r="111" spans="2:9" s="38" customFormat="1" ht="14.5" outlineLevel="1">
      <c r="B111" s="54">
        <f t="shared" si="11"/>
        <v>91</v>
      </c>
      <c r="C111" s="55">
        <f t="shared" si="12"/>
        <v>334994.8750189768</v>
      </c>
      <c r="D111" s="56">
        <f t="shared" si="8"/>
        <v>419.77359379553411</v>
      </c>
      <c r="E111" s="56">
        <f t="shared" si="9"/>
        <v>2677.8668682169559</v>
      </c>
      <c r="F111" s="57">
        <f t="shared" si="13"/>
        <v>-1243.773611246027</v>
      </c>
      <c r="G111" s="57">
        <f t="shared" si="7"/>
        <v>-2677.8668682169559</v>
      </c>
      <c r="H111" s="57">
        <f>-C110*Premissas!$C$30</f>
        <v>-201.49132502185634</v>
      </c>
      <c r="I111" s="58">
        <f t="shared" si="10"/>
        <v>-4128.2857192404454</v>
      </c>
    </row>
    <row r="112" spans="2:9" s="38" customFormat="1" ht="14.5" outlineLevel="1">
      <c r="B112" s="54">
        <f t="shared" si="11"/>
        <v>92</v>
      </c>
      <c r="C112" s="55">
        <f t="shared" si="12"/>
        <v>334168.28450487333</v>
      </c>
      <c r="D112" s="56">
        <f t="shared" si="8"/>
        <v>418.74359377372099</v>
      </c>
      <c r="E112" s="56">
        <f t="shared" si="9"/>
        <v>2671.2961763643866</v>
      </c>
      <c r="F112" s="57">
        <f t="shared" si="13"/>
        <v>-1245.3341078772371</v>
      </c>
      <c r="G112" s="57">
        <f t="shared" si="7"/>
        <v>-2671.2961763643866</v>
      </c>
      <c r="H112" s="57">
        <f>-C111*Premissas!$C$30</f>
        <v>-200.99692501138605</v>
      </c>
      <c r="I112" s="58">
        <f t="shared" si="10"/>
        <v>-4122.7742432645764</v>
      </c>
    </row>
    <row r="113" spans="2:9" s="38" customFormat="1" ht="14.5" outlineLevel="1">
      <c r="B113" s="54">
        <f t="shared" si="11"/>
        <v>93</v>
      </c>
      <c r="C113" s="55">
        <f t="shared" si="12"/>
        <v>333339.09827653097</v>
      </c>
      <c r="D113" s="56">
        <f t="shared" si="8"/>
        <v>417.71035563109166</v>
      </c>
      <c r="E113" s="56">
        <f t="shared" si="9"/>
        <v>2664.7048275277257</v>
      </c>
      <c r="F113" s="57">
        <f t="shared" si="13"/>
        <v>-1246.896583973408</v>
      </c>
      <c r="G113" s="57">
        <f t="shared" si="7"/>
        <v>-2664.7048275277257</v>
      </c>
      <c r="H113" s="57">
        <f>-C112*Premissas!$C$30</f>
        <v>-200.50097070292398</v>
      </c>
      <c r="I113" s="58">
        <f t="shared" si="10"/>
        <v>-4117.2425101818126</v>
      </c>
    </row>
    <row r="114" spans="2:9" s="38" customFormat="1" ht="14.5" outlineLevel="1">
      <c r="B114" s="54">
        <f t="shared" si="11"/>
        <v>94</v>
      </c>
      <c r="C114" s="55">
        <f t="shared" si="12"/>
        <v>332507.31110714242</v>
      </c>
      <c r="D114" s="56">
        <f t="shared" si="8"/>
        <v>416.67387284566371</v>
      </c>
      <c r="E114" s="56">
        <f t="shared" si="9"/>
        <v>2658.0927801012108</v>
      </c>
      <c r="F114" s="57">
        <f t="shared" si="13"/>
        <v>-1248.4610422341984</v>
      </c>
      <c r="G114" s="57">
        <f t="shared" si="7"/>
        <v>-2658.0927801012108</v>
      </c>
      <c r="H114" s="57">
        <f>-C113*Premissas!$C$30</f>
        <v>-200.00345896591855</v>
      </c>
      <c r="I114" s="58">
        <f t="shared" si="10"/>
        <v>-4111.6904779029546</v>
      </c>
    </row>
    <row r="115" spans="2:9" s="38" customFormat="1" ht="14.5" outlineLevel="1">
      <c r="B115" s="54">
        <f t="shared" si="11"/>
        <v>95</v>
      </c>
      <c r="C115" s="55">
        <f t="shared" si="12"/>
        <v>331672.9177606611</v>
      </c>
      <c r="D115" s="56">
        <f t="shared" si="8"/>
        <v>415.63413888392802</v>
      </c>
      <c r="E115" s="56">
        <f t="shared" si="9"/>
        <v>2651.459992405546</v>
      </c>
      <c r="F115" s="57">
        <f t="shared" si="13"/>
        <v>-1250.027485365197</v>
      </c>
      <c r="G115" s="57">
        <f t="shared" si="7"/>
        <v>-2651.459992405546</v>
      </c>
      <c r="H115" s="57">
        <f>-C114*Premissas!$C$30</f>
        <v>-199.50438666428545</v>
      </c>
      <c r="I115" s="58">
        <f t="shared" si="10"/>
        <v>-4106.1181042655717</v>
      </c>
    </row>
    <row r="116" spans="2:9" s="38" customFormat="1" ht="14.5" outlineLevel="1">
      <c r="B116" s="54">
        <f t="shared" si="11"/>
        <v>96</v>
      </c>
      <c r="C116" s="55">
        <f t="shared" si="12"/>
        <v>330835.91299178399</v>
      </c>
      <c r="D116" s="56">
        <f t="shared" si="8"/>
        <v>414.59114720082641</v>
      </c>
      <c r="E116" s="56">
        <f t="shared" si="9"/>
        <v>2644.8064226877609</v>
      </c>
      <c r="F116" s="57">
        <f t="shared" si="13"/>
        <v>-1251.5959160779664</v>
      </c>
      <c r="G116" s="57">
        <f t="shared" si="7"/>
        <v>-2644.8064226877609</v>
      </c>
      <c r="H116" s="57">
        <f>-C115*Premissas!$C$30</f>
        <v>-199.00375065639665</v>
      </c>
      <c r="I116" s="58">
        <f t="shared" si="10"/>
        <v>-4100.5253470339012</v>
      </c>
    </row>
    <row r="117" spans="2:9" s="38" customFormat="1" ht="14.5" outlineLevel="1">
      <c r="B117" s="54">
        <f t="shared" si="11"/>
        <v>97</v>
      </c>
      <c r="C117" s="55">
        <f t="shared" si="12"/>
        <v>329996.29154593364</v>
      </c>
      <c r="D117" s="56">
        <f t="shared" si="8"/>
        <v>413.54489123973002</v>
      </c>
      <c r="E117" s="56">
        <f t="shared" si="9"/>
        <v>2638.1320291210727</v>
      </c>
      <c r="F117" s="57">
        <f t="shared" si="13"/>
        <v>-1253.1663370900908</v>
      </c>
      <c r="G117" s="57">
        <f t="shared" si="7"/>
        <v>-2638.1320291210727</v>
      </c>
      <c r="H117" s="57">
        <f>-C116*Premissas!$C$30</f>
        <v>-198.50154779507037</v>
      </c>
      <c r="I117" s="58">
        <f t="shared" si="10"/>
        <v>-4094.9121638987422</v>
      </c>
    </row>
    <row r="118" spans="2:9" s="38" customFormat="1" ht="14.5" outlineLevel="1">
      <c r="B118" s="54">
        <f t="shared" si="11"/>
        <v>98</v>
      </c>
      <c r="C118" s="55">
        <f t="shared" si="12"/>
        <v>329154.0481592408</v>
      </c>
      <c r="D118" s="56">
        <f t="shared" si="8"/>
        <v>412.49536443241703</v>
      </c>
      <c r="E118" s="56">
        <f t="shared" si="9"/>
        <v>2631.4367698047431</v>
      </c>
      <c r="F118" s="57">
        <f t="shared" si="13"/>
        <v>-1254.738751125223</v>
      </c>
      <c r="G118" s="57">
        <f t="shared" si="7"/>
        <v>-2631.4367698047431</v>
      </c>
      <c r="H118" s="57">
        <f>-C117*Premissas!$C$30</f>
        <v>-197.99777492756016</v>
      </c>
      <c r="I118" s="58">
        <f t="shared" si="10"/>
        <v>-4089.2785124773486</v>
      </c>
    </row>
    <row r="119" spans="2:9" s="38" customFormat="1" ht="14.5" outlineLevel="1">
      <c r="B119" s="54">
        <f t="shared" si="11"/>
        <v>99</v>
      </c>
      <c r="C119" s="55">
        <f t="shared" si="12"/>
        <v>328309.17755852675</v>
      </c>
      <c r="D119" s="56">
        <f t="shared" si="8"/>
        <v>411.442560199051</v>
      </c>
      <c r="E119" s="56">
        <f t="shared" si="9"/>
        <v>2624.7206027639386</v>
      </c>
      <c r="F119" s="57">
        <f t="shared" si="13"/>
        <v>-1256.3131609131328</v>
      </c>
      <c r="G119" s="57">
        <f t="shared" si="7"/>
        <v>-2624.7206027639386</v>
      </c>
      <c r="H119" s="57">
        <f>-C118*Premissas!$C$30</f>
        <v>-197.49242889554446</v>
      </c>
      <c r="I119" s="58">
        <f t="shared" si="10"/>
        <v>-4083.6243503133314</v>
      </c>
    </row>
    <row r="120" spans="2:9" s="38" customFormat="1" ht="14.5" outlineLevel="1">
      <c r="B120" s="54">
        <f t="shared" si="11"/>
        <v>100</v>
      </c>
      <c r="C120" s="55">
        <f t="shared" si="12"/>
        <v>327461.67446128518</v>
      </c>
      <c r="D120" s="56">
        <f t="shared" si="8"/>
        <v>410.38647194815843</v>
      </c>
      <c r="E120" s="56">
        <f t="shared" si="9"/>
        <v>2617.9834859495927</v>
      </c>
      <c r="F120" s="57">
        <f t="shared" si="13"/>
        <v>-1257.8895691897576</v>
      </c>
      <c r="G120" s="57">
        <f t="shared" si="7"/>
        <v>-2617.9834859495927</v>
      </c>
      <c r="H120" s="57">
        <f>-C119*Premissas!$C$30</f>
        <v>-196.98550653511603</v>
      </c>
      <c r="I120" s="58">
        <f t="shared" si="10"/>
        <v>-4077.9496348765592</v>
      </c>
    </row>
    <row r="121" spans="2:9" s="38" customFormat="1" ht="14.5" outlineLevel="1">
      <c r="B121" s="54">
        <f t="shared" si="11"/>
        <v>101</v>
      </c>
      <c r="C121" s="55">
        <f t="shared" si="12"/>
        <v>326611.53357566451</v>
      </c>
      <c r="D121" s="56">
        <f t="shared" si="8"/>
        <v>409.3270930766065</v>
      </c>
      <c r="E121" s="56">
        <f t="shared" si="9"/>
        <v>2611.2253772382574</v>
      </c>
      <c r="F121" s="57">
        <f t="shared" si="13"/>
        <v>-1259.4679786972506</v>
      </c>
      <c r="G121" s="57">
        <f t="shared" si="7"/>
        <v>-2611.2253772382574</v>
      </c>
      <c r="H121" s="57">
        <f>-C120*Premissas!$C$30</f>
        <v>-196.47700467677109</v>
      </c>
      <c r="I121" s="58">
        <f t="shared" si="10"/>
        <v>-4072.2543235630446</v>
      </c>
    </row>
    <row r="122" spans="2:9" s="38" customFormat="1" ht="14.5" outlineLevel="1">
      <c r="B122" s="54">
        <f t="shared" si="11"/>
        <v>102</v>
      </c>
      <c r="C122" s="55">
        <f t="shared" si="12"/>
        <v>325758.74960045004</v>
      </c>
      <c r="D122" s="56">
        <f t="shared" si="8"/>
        <v>408.26441696958062</v>
      </c>
      <c r="E122" s="56">
        <f t="shared" si="9"/>
        <v>2604.4462344319654</v>
      </c>
      <c r="F122" s="57">
        <f t="shared" si="13"/>
        <v>-1261.0483921840328</v>
      </c>
      <c r="G122" s="57">
        <f t="shared" si="7"/>
        <v>-2604.4462344319654</v>
      </c>
      <c r="H122" s="57">
        <f>-C121*Premissas!$C$30</f>
        <v>-195.96692014539869</v>
      </c>
      <c r="I122" s="58">
        <f t="shared" si="10"/>
        <v>-4066.5383736948484</v>
      </c>
    </row>
    <row r="123" spans="2:9" s="38" customFormat="1" ht="14.5" outlineLevel="1">
      <c r="B123" s="54">
        <f t="shared" si="11"/>
        <v>103</v>
      </c>
      <c r="C123" s="55">
        <f t="shared" si="12"/>
        <v>324903.31722504576</v>
      </c>
      <c r="D123" s="56">
        <f t="shared" si="8"/>
        <v>407.19843700056254</v>
      </c>
      <c r="E123" s="56">
        <f t="shared" si="9"/>
        <v>2597.6460152580867</v>
      </c>
      <c r="F123" s="57">
        <f t="shared" si="13"/>
        <v>-1262.6308124048451</v>
      </c>
      <c r="G123" s="57">
        <f t="shared" si="7"/>
        <v>-2597.6460152580867</v>
      </c>
      <c r="H123" s="57">
        <f>-C122*Premissas!$C$30</f>
        <v>-195.45524976027002</v>
      </c>
      <c r="I123" s="58">
        <f t="shared" si="10"/>
        <v>-4060.8017425199805</v>
      </c>
    </row>
    <row r="124" spans="2:9" s="38" customFormat="1" ht="14.5" outlineLevel="1">
      <c r="B124" s="54">
        <f t="shared" si="11"/>
        <v>104</v>
      </c>
      <c r="C124" s="55">
        <f t="shared" si="12"/>
        <v>324045.23112945625</v>
      </c>
      <c r="D124" s="56">
        <f t="shared" si="8"/>
        <v>406.12914653130719</v>
      </c>
      <c r="E124" s="56">
        <f t="shared" si="9"/>
        <v>2590.8246773691822</v>
      </c>
      <c r="F124" s="57">
        <f t="shared" si="13"/>
        <v>-1264.2152421208007</v>
      </c>
      <c r="G124" s="57">
        <f t="shared" si="7"/>
        <v>-2590.8246773691822</v>
      </c>
      <c r="H124" s="57">
        <f>-C123*Premissas!$C$30</f>
        <v>-194.94199033502744</v>
      </c>
      <c r="I124" s="58">
        <f t="shared" si="10"/>
        <v>-4055.0443872122914</v>
      </c>
    </row>
    <row r="125" spans="2:9" s="38" customFormat="1" ht="14.5" outlineLevel="1">
      <c r="B125" s="54">
        <f t="shared" si="11"/>
        <v>105</v>
      </c>
      <c r="C125" s="55">
        <f t="shared" si="12"/>
        <v>323184.48598426866</v>
      </c>
      <c r="D125" s="56">
        <f t="shared" si="8"/>
        <v>405.05653891182033</v>
      </c>
      <c r="E125" s="56">
        <f t="shared" si="9"/>
        <v>2583.9821783428615</v>
      </c>
      <c r="F125" s="57">
        <f t="shared" si="13"/>
        <v>-1265.8016840994385</v>
      </c>
      <c r="G125" s="57">
        <f t="shared" si="7"/>
        <v>-2583.9821783428615</v>
      </c>
      <c r="H125" s="57">
        <f>-C124*Premissas!$C$30</f>
        <v>-194.42713867767372</v>
      </c>
      <c r="I125" s="58">
        <f t="shared" si="10"/>
        <v>-4049.2662648713736</v>
      </c>
    </row>
    <row r="126" spans="2:9" s="38" customFormat="1" ht="14.5" outlineLevel="1">
      <c r="B126" s="54">
        <f t="shared" si="11"/>
        <v>106</v>
      </c>
      <c r="C126" s="55">
        <f t="shared" si="12"/>
        <v>322321.07645063422</v>
      </c>
      <c r="D126" s="56">
        <f t="shared" si="8"/>
        <v>403.98060748033583</v>
      </c>
      <c r="E126" s="56">
        <f t="shared" si="9"/>
        <v>2577.1184756816388</v>
      </c>
      <c r="F126" s="57">
        <f t="shared" si="13"/>
        <v>-1267.390141114779</v>
      </c>
      <c r="G126" s="57">
        <f t="shared" si="7"/>
        <v>-2577.1184756816388</v>
      </c>
      <c r="H126" s="57">
        <f>-C125*Premissas!$C$30</f>
        <v>-193.91069159056119</v>
      </c>
      <c r="I126" s="58">
        <f t="shared" si="10"/>
        <v>-4043.4673325224626</v>
      </c>
    </row>
    <row r="127" spans="2:9" s="38" customFormat="1" ht="14.5" outlineLevel="1">
      <c r="B127" s="54">
        <f t="shared" si="11"/>
        <v>107</v>
      </c>
      <c r="C127" s="55">
        <f t="shared" si="12"/>
        <v>321454.99718025012</v>
      </c>
      <c r="D127" s="56">
        <f t="shared" si="8"/>
        <v>402.90134556329281</v>
      </c>
      <c r="E127" s="56">
        <f t="shared" si="9"/>
        <v>2570.2335268127836</v>
      </c>
      <c r="F127" s="57">
        <f t="shared" si="13"/>
        <v>-1268.9806159473787</v>
      </c>
      <c r="G127" s="57">
        <f t="shared" si="7"/>
        <v>-2570.2335268127836</v>
      </c>
      <c r="H127" s="57">
        <f>-C126*Premissas!$C$30</f>
        <v>-193.39264587038051</v>
      </c>
      <c r="I127" s="58">
        <f t="shared" si="10"/>
        <v>-4037.6475471163308</v>
      </c>
    </row>
    <row r="128" spans="2:9" s="38" customFormat="1" ht="14.5" outlineLevel="1">
      <c r="B128" s="54">
        <f t="shared" si="11"/>
        <v>108</v>
      </c>
      <c r="C128" s="55">
        <f t="shared" si="12"/>
        <v>320586.24281534104</v>
      </c>
      <c r="D128" s="56">
        <f t="shared" si="8"/>
        <v>401.81874647531265</v>
      </c>
      <c r="E128" s="56">
        <f t="shared" si="9"/>
        <v>2563.3272890881781</v>
      </c>
      <c r="F128" s="57">
        <f t="shared" si="13"/>
        <v>-1270.5731113843879</v>
      </c>
      <c r="G128" s="57">
        <f t="shared" si="7"/>
        <v>-2563.3272890881781</v>
      </c>
      <c r="H128" s="57">
        <f>-C127*Premissas!$C$30</f>
        <v>-192.87299830815004</v>
      </c>
      <c r="I128" s="58">
        <f t="shared" si="10"/>
        <v>-4031.8068655291918</v>
      </c>
    </row>
    <row r="129" spans="2:9" s="38" customFormat="1" ht="14.5" outlineLevel="1">
      <c r="B129" s="54">
        <f t="shared" si="11"/>
        <v>109</v>
      </c>
      <c r="C129" s="55">
        <f t="shared" si="12"/>
        <v>319714.80798864062</v>
      </c>
      <c r="D129" s="56">
        <f t="shared" si="8"/>
        <v>400.73280351917629</v>
      </c>
      <c r="E129" s="56">
        <f t="shared" si="9"/>
        <v>2556.39971978417</v>
      </c>
      <c r="F129" s="57">
        <f t="shared" si="13"/>
        <v>-1272.1676302196074</v>
      </c>
      <c r="G129" s="57">
        <f t="shared" si="7"/>
        <v>-2556.39971978417</v>
      </c>
      <c r="H129" s="57">
        <f>-C128*Premissas!$C$30</f>
        <v>-192.35174568920462</v>
      </c>
      <c r="I129" s="58">
        <f t="shared" si="10"/>
        <v>-4025.945244562598</v>
      </c>
    </row>
    <row r="130" spans="2:9" s="38" customFormat="1" ht="14.5" outlineLevel="1">
      <c r="B130" s="54">
        <f t="shared" si="11"/>
        <v>110</v>
      </c>
      <c r="C130" s="55">
        <f t="shared" si="12"/>
        <v>318840.68732337287</v>
      </c>
      <c r="D130" s="56">
        <f t="shared" si="8"/>
        <v>399.64350998580079</v>
      </c>
      <c r="E130" s="56">
        <f t="shared" si="9"/>
        <v>2549.4507761014233</v>
      </c>
      <c r="F130" s="57">
        <f t="shared" si="13"/>
        <v>-1273.7641752535483</v>
      </c>
      <c r="G130" s="57">
        <f t="shared" si="7"/>
        <v>-2549.4507761014233</v>
      </c>
      <c r="H130" s="57">
        <f>-C129*Premissas!$C$30</f>
        <v>-191.82888479318436</v>
      </c>
      <c r="I130" s="58">
        <f t="shared" si="10"/>
        <v>-4020.0626409433412</v>
      </c>
    </row>
    <row r="131" spans="2:9" s="38" customFormat="1" ht="14.5" outlineLevel="1">
      <c r="B131" s="54">
        <f t="shared" si="11"/>
        <v>111</v>
      </c>
      <c r="C131" s="55">
        <f t="shared" si="12"/>
        <v>317963.87543323357</v>
      </c>
      <c r="D131" s="56">
        <f t="shared" si="8"/>
        <v>398.55085915421608</v>
      </c>
      <c r="E131" s="56">
        <f t="shared" si="9"/>
        <v>2542.4804151647713</v>
      </c>
      <c r="F131" s="57">
        <f t="shared" si="13"/>
        <v>-1275.3627492934916</v>
      </c>
      <c r="G131" s="57">
        <f t="shared" si="7"/>
        <v>-2542.4804151647713</v>
      </c>
      <c r="H131" s="57">
        <f>-C130*Premissas!$C$30</f>
        <v>-191.3044123940237</v>
      </c>
      <c r="I131" s="58">
        <f t="shared" si="10"/>
        <v>-4014.1590113233515</v>
      </c>
    </row>
    <row r="132" spans="2:9" s="38" customFormat="1" ht="14.5" outlineLevel="1">
      <c r="B132" s="54">
        <f t="shared" si="11"/>
        <v>112</v>
      </c>
      <c r="C132" s="55">
        <f t="shared" si="12"/>
        <v>317084.36692237156</v>
      </c>
      <c r="D132" s="56">
        <f t="shared" si="8"/>
        <v>397.45484429154197</v>
      </c>
      <c r="E132" s="56">
        <f t="shared" si="9"/>
        <v>2535.4885940230683</v>
      </c>
      <c r="F132" s="57">
        <f t="shared" si="13"/>
        <v>-1276.9633551535485</v>
      </c>
      <c r="G132" s="57">
        <f t="shared" si="7"/>
        <v>-2535.4885940230683</v>
      </c>
      <c r="H132" s="57">
        <f>-C131*Premissas!$C$30</f>
        <v>-190.77832525994012</v>
      </c>
      <c r="I132" s="58">
        <f t="shared" si="10"/>
        <v>-4008.2343122796028</v>
      </c>
    </row>
    <row r="133" spans="2:9" s="38" customFormat="1" ht="14.5" outlineLevel="1">
      <c r="B133" s="54">
        <f t="shared" si="11"/>
        <v>113</v>
      </c>
      <c r="C133" s="55">
        <f t="shared" si="12"/>
        <v>316202.15638536977</v>
      </c>
      <c r="D133" s="56">
        <f t="shared" si="8"/>
        <v>396.35545865296444</v>
      </c>
      <c r="E133" s="56">
        <f t="shared" si="9"/>
        <v>2528.4752696490386</v>
      </c>
      <c r="F133" s="57">
        <f t="shared" si="13"/>
        <v>-1278.565995654724</v>
      </c>
      <c r="G133" s="57">
        <f t="shared" si="7"/>
        <v>-2528.4752696490386</v>
      </c>
      <c r="H133" s="57">
        <f>-C132*Premissas!$C$30</f>
        <v>-190.25062015342291</v>
      </c>
      <c r="I133" s="58">
        <f t="shared" si="10"/>
        <v>-4002.2885003140073</v>
      </c>
    </row>
    <row r="134" spans="2:9" s="38" customFormat="1" ht="14.5" outlineLevel="1">
      <c r="B134" s="54">
        <f t="shared" si="11"/>
        <v>114</v>
      </c>
      <c r="C134" s="55">
        <f t="shared" si="12"/>
        <v>315317.23840722651</v>
      </c>
      <c r="D134" s="56">
        <f t="shared" si="8"/>
        <v>395.25269548171224</v>
      </c>
      <c r="E134" s="56">
        <f t="shared" si="9"/>
        <v>2521.4403989391276</v>
      </c>
      <c r="F134" s="57">
        <f t="shared" si="13"/>
        <v>-1280.1706736249789</v>
      </c>
      <c r="G134" s="57">
        <f t="shared" si="7"/>
        <v>-2521.4403989391276</v>
      </c>
      <c r="H134" s="57">
        <f>-C133*Premissas!$C$30</f>
        <v>-189.72129383122186</v>
      </c>
      <c r="I134" s="58">
        <f t="shared" si="10"/>
        <v>-3996.3215318533225</v>
      </c>
    </row>
    <row r="135" spans="2:9" s="38" customFormat="1" ht="14.5" outlineLevel="1">
      <c r="B135" s="54">
        <f t="shared" si="11"/>
        <v>115</v>
      </c>
      <c r="C135" s="55">
        <f t="shared" si="12"/>
        <v>314429.60756333621</v>
      </c>
      <c r="D135" s="56">
        <f t="shared" si="8"/>
        <v>394.14654800903315</v>
      </c>
      <c r="E135" s="56">
        <f t="shared" si="9"/>
        <v>2514.3839387133517</v>
      </c>
      <c r="F135" s="57">
        <f t="shared" si="13"/>
        <v>-1281.7773918992948</v>
      </c>
      <c r="G135" s="57">
        <f t="shared" si="7"/>
        <v>-2514.3839387133517</v>
      </c>
      <c r="H135" s="57">
        <f>-C134*Premissas!$C$30</f>
        <v>-189.19034304433589</v>
      </c>
      <c r="I135" s="58">
        <f t="shared" si="10"/>
        <v>-3990.3333632490535</v>
      </c>
    </row>
    <row r="136" spans="2:9" s="38" customFormat="1" ht="14.5" outlineLevel="1">
      <c r="B136" s="54">
        <f t="shared" si="11"/>
        <v>116</v>
      </c>
      <c r="C136" s="55">
        <f t="shared" si="12"/>
        <v>313539.25841947063</v>
      </c>
      <c r="D136" s="56">
        <f t="shared" si="8"/>
        <v>393.03700945417029</v>
      </c>
      <c r="E136" s="56">
        <f t="shared" si="9"/>
        <v>2507.3058457151442</v>
      </c>
      <c r="F136" s="57">
        <f t="shared" si="13"/>
        <v>-1283.3861533197396</v>
      </c>
      <c r="G136" s="57">
        <f t="shared" si="7"/>
        <v>-2507.3058457151442</v>
      </c>
      <c r="H136" s="57">
        <f>-C135*Premissas!$C$30</f>
        <v>-188.65776453800171</v>
      </c>
      <c r="I136" s="58">
        <f t="shared" si="10"/>
        <v>-3984.3239507773515</v>
      </c>
    </row>
    <row r="137" spans="2:9" s="38" customFormat="1" ht="14.5" outlineLevel="1">
      <c r="B137" s="54">
        <f t="shared" si="11"/>
        <v>117</v>
      </c>
      <c r="C137" s="55">
        <f t="shared" si="12"/>
        <v>312646.18553175946</v>
      </c>
      <c r="D137" s="56">
        <f t="shared" si="8"/>
        <v>391.92407302433827</v>
      </c>
      <c r="E137" s="56">
        <f t="shared" si="9"/>
        <v>2500.2060766112058</v>
      </c>
      <c r="F137" s="57">
        <f t="shared" si="13"/>
        <v>-1284.9969607355354</v>
      </c>
      <c r="G137" s="57">
        <f t="shared" si="7"/>
        <v>-2500.2060766112058</v>
      </c>
      <c r="H137" s="57">
        <f>-C136*Premissas!$C$30</f>
        <v>-188.12355505168236</v>
      </c>
      <c r="I137" s="58">
        <f t="shared" si="10"/>
        <v>-3978.2932506389216</v>
      </c>
    </row>
    <row r="138" spans="2:9" s="38" customFormat="1" ht="14.5" outlineLevel="1">
      <c r="B138" s="54">
        <f t="shared" si="11"/>
        <v>118</v>
      </c>
      <c r="C138" s="55">
        <f t="shared" si="12"/>
        <v>311750.38344667101</v>
      </c>
      <c r="D138" s="56">
        <f t="shared" si="8"/>
        <v>390.80773191469933</v>
      </c>
      <c r="E138" s="56">
        <f t="shared" si="9"/>
        <v>2493.0845879913504</v>
      </c>
      <c r="F138" s="57">
        <f t="shared" si="13"/>
        <v>-1286.6098170031253</v>
      </c>
      <c r="G138" s="57">
        <f t="shared" si="7"/>
        <v>-2493.0845879913504</v>
      </c>
      <c r="H138" s="57">
        <f>-C137*Premissas!$C$30</f>
        <v>-187.58771131905567</v>
      </c>
      <c r="I138" s="58">
        <f t="shared" si="10"/>
        <v>-3972.2412189589236</v>
      </c>
    </row>
    <row r="139" spans="2:9" s="38" customFormat="1" ht="14.5" outlineLevel="1">
      <c r="B139" s="54">
        <f t="shared" si="11"/>
        <v>119</v>
      </c>
      <c r="C139" s="55">
        <f t="shared" si="12"/>
        <v>310851.84670099313</v>
      </c>
      <c r="D139" s="56">
        <f t="shared" si="8"/>
        <v>389.68797930833875</v>
      </c>
      <c r="E139" s="56">
        <f t="shared" si="9"/>
        <v>2485.9413363683502</v>
      </c>
      <c r="F139" s="57">
        <f t="shared" si="13"/>
        <v>-1288.2247249862439</v>
      </c>
      <c r="G139" s="57">
        <f t="shared" si="7"/>
        <v>-2485.9413363683502</v>
      </c>
      <c r="H139" s="57">
        <f>-C138*Premissas!$C$30</f>
        <v>-187.05023006800258</v>
      </c>
      <c r="I139" s="58">
        <f t="shared" si="10"/>
        <v>-3966.1678117868751</v>
      </c>
    </row>
    <row r="140" spans="2:9" s="38" customFormat="1" ht="14.5" outlineLevel="1">
      <c r="B140" s="54">
        <f t="shared" si="11"/>
        <v>120</v>
      </c>
      <c r="C140" s="55">
        <f t="shared" si="12"/>
        <v>309950.56982181338</v>
      </c>
      <c r="D140" s="56">
        <f t="shared" si="8"/>
        <v>388.56480837624144</v>
      </c>
      <c r="E140" s="56">
        <f t="shared" si="9"/>
        <v>2478.7762781777847</v>
      </c>
      <c r="F140" s="57">
        <f t="shared" si="13"/>
        <v>-1289.8416875559881</v>
      </c>
      <c r="G140" s="57">
        <f t="shared" si="7"/>
        <v>-2478.7762781777847</v>
      </c>
      <c r="H140" s="57">
        <f>-C139*Premissas!$C$30</f>
        <v>-186.51110802059586</v>
      </c>
      <c r="I140" s="58">
        <f t="shared" si="10"/>
        <v>-3960.0729850965608</v>
      </c>
    </row>
    <row r="141" spans="2:9" s="38" customFormat="1" ht="14.5" outlineLevel="1">
      <c r="B141" s="54">
        <f t="shared" si="11"/>
        <v>121</v>
      </c>
      <c r="C141" s="55">
        <f t="shared" si="12"/>
        <v>309046.54732649971</v>
      </c>
      <c r="D141" s="56">
        <f t="shared" si="8"/>
        <v>387.43821227726676</v>
      </c>
      <c r="E141" s="56">
        <f t="shared" si="9"/>
        <v>2471.5893697778811</v>
      </c>
      <c r="F141" s="57">
        <f t="shared" si="13"/>
        <v>-1291.4607075908891</v>
      </c>
      <c r="G141" s="57">
        <f t="shared" si="7"/>
        <v>-2471.5893697778811</v>
      </c>
      <c r="H141" s="57">
        <f>-C140*Premissas!$C$30</f>
        <v>-185.970341893088</v>
      </c>
      <c r="I141" s="58">
        <f t="shared" si="10"/>
        <v>-3953.9566947859353</v>
      </c>
    </row>
    <row r="142" spans="2:9" s="38" customFormat="1" ht="14.5" outlineLevel="1">
      <c r="B142" s="54">
        <f t="shared" si="11"/>
        <v>122</v>
      </c>
      <c r="C142" s="55">
        <f t="shared" si="12"/>
        <v>308139.77372268087</v>
      </c>
      <c r="D142" s="56">
        <f t="shared" si="8"/>
        <v>386.30818415812467</v>
      </c>
      <c r="E142" s="56">
        <f t="shared" si="9"/>
        <v>2464.3805674493619</v>
      </c>
      <c r="F142" s="57">
        <f t="shared" si="13"/>
        <v>-1293.0817879769863</v>
      </c>
      <c r="G142" s="57">
        <f t="shared" si="7"/>
        <v>-2464.3805674493619</v>
      </c>
      <c r="H142" s="57">
        <f>-C141*Premissas!$C$30</f>
        <v>-185.42792839589981</v>
      </c>
      <c r="I142" s="58">
        <f t="shared" si="10"/>
        <v>-3947.8188966770258</v>
      </c>
    </row>
    <row r="143" spans="2:9" s="38" customFormat="1" ht="14.5" outlineLevel="1">
      <c r="B143" s="54">
        <f t="shared" si="11"/>
        <v>123</v>
      </c>
      <c r="C143" s="55">
        <f t="shared" si="12"/>
        <v>307230.24350822635</v>
      </c>
      <c r="D143" s="56">
        <f t="shared" si="8"/>
        <v>385.17471715335108</v>
      </c>
      <c r="E143" s="56">
        <f t="shared" si="9"/>
        <v>2457.1498273952875</v>
      </c>
      <c r="F143" s="57">
        <f t="shared" si="13"/>
        <v>-1294.7049316079028</v>
      </c>
      <c r="G143" s="57">
        <f t="shared" si="7"/>
        <v>-2457.1498273952875</v>
      </c>
      <c r="H143" s="57">
        <f>-C142*Premissas!$C$30</f>
        <v>-184.88386423360851</v>
      </c>
      <c r="I143" s="58">
        <f t="shared" si="10"/>
        <v>-3941.6595465158448</v>
      </c>
    </row>
    <row r="144" spans="2:9" s="38" customFormat="1" ht="14.5" outlineLevel="1">
      <c r="B144" s="54">
        <f t="shared" si="11"/>
        <v>124</v>
      </c>
      <c r="C144" s="55">
        <f t="shared" si="12"/>
        <v>306317.95117122674</v>
      </c>
      <c r="D144" s="56">
        <f t="shared" si="8"/>
        <v>384.03780438528293</v>
      </c>
      <c r="E144" s="56">
        <f t="shared" si="9"/>
        <v>2449.8971057408962</v>
      </c>
      <c r="F144" s="57">
        <f t="shared" si="13"/>
        <v>-1296.3301413849213</v>
      </c>
      <c r="G144" s="57">
        <f t="shared" si="7"/>
        <v>-2449.8971057408962</v>
      </c>
      <c r="H144" s="57">
        <f>-C143*Premissas!$C$30</f>
        <v>-184.33814610493579</v>
      </c>
      <c r="I144" s="58">
        <f t="shared" si="10"/>
        <v>-3935.4785999722917</v>
      </c>
    </row>
    <row r="145" spans="2:9" s="38" customFormat="1" ht="14.5" outlineLevel="1">
      <c r="B145" s="54">
        <f t="shared" si="11"/>
        <v>125</v>
      </c>
      <c r="C145" s="55">
        <f t="shared" si="12"/>
        <v>305402.89118997374</v>
      </c>
      <c r="D145" s="56">
        <f t="shared" si="8"/>
        <v>382.89743896403343</v>
      </c>
      <c r="E145" s="56">
        <f t="shared" si="9"/>
        <v>2442.6223585334483</v>
      </c>
      <c r="F145" s="57">
        <f t="shared" si="13"/>
        <v>-1297.9574202170625</v>
      </c>
      <c r="G145" s="57">
        <f t="shared" si="7"/>
        <v>-2442.6223585334483</v>
      </c>
      <c r="H145" s="57">
        <f>-C144*Premissas!$C$30</f>
        <v>-183.79077070273604</v>
      </c>
      <c r="I145" s="58">
        <f t="shared" si="10"/>
        <v>-3929.2760126400635</v>
      </c>
    </row>
    <row r="146" spans="2:9" s="38" customFormat="1" ht="14.5" outlineLevel="1">
      <c r="B146" s="54">
        <f t="shared" si="11"/>
        <v>126</v>
      </c>
      <c r="C146" s="55">
        <f t="shared" si="12"/>
        <v>304485.05803294003</v>
      </c>
      <c r="D146" s="56">
        <f t="shared" si="8"/>
        <v>381.75361398746719</v>
      </c>
      <c r="E146" s="56">
        <f t="shared" si="9"/>
        <v>2435.3255417420669</v>
      </c>
      <c r="F146" s="57">
        <f t="shared" si="13"/>
        <v>-1299.5867710211649</v>
      </c>
      <c r="G146" s="57">
        <f t="shared" si="7"/>
        <v>-2435.3255417420669</v>
      </c>
      <c r="H146" s="57">
        <f>-C145*Premissas!$C$30</f>
        <v>-183.24173471398424</v>
      </c>
      <c r="I146" s="58">
        <f t="shared" si="10"/>
        <v>-3923.0517400365629</v>
      </c>
    </row>
    <row r="147" spans="2:9" s="38" customFormat="1" ht="14.5" outlineLevel="1">
      <c r="B147" s="54">
        <f t="shared" si="11"/>
        <v>127</v>
      </c>
      <c r="C147" s="55">
        <f t="shared" si="12"/>
        <v>303564.44615875924</v>
      </c>
      <c r="D147" s="56">
        <f t="shared" si="8"/>
        <v>380.60632254117502</v>
      </c>
      <c r="E147" s="56">
        <f t="shared" si="9"/>
        <v>2428.006611257576</v>
      </c>
      <c r="F147" s="57">
        <f t="shared" si="13"/>
        <v>-1301.218196721966</v>
      </c>
      <c r="G147" s="57">
        <f t="shared" si="7"/>
        <v>-2428.006611257576</v>
      </c>
      <c r="H147" s="57">
        <f>-C146*Premissas!$C$30</f>
        <v>-182.69103481976401</v>
      </c>
      <c r="I147" s="58">
        <f t="shared" si="10"/>
        <v>-3916.8057376028046</v>
      </c>
    </row>
    <row r="148" spans="2:9" s="38" customFormat="1" ht="14.5" outlineLevel="1">
      <c r="B148" s="54">
        <f t="shared" si="11"/>
        <v>128</v>
      </c>
      <c r="C148" s="55">
        <f t="shared" si="12"/>
        <v>302641.05001620547</v>
      </c>
      <c r="D148" s="56">
        <f t="shared" si="8"/>
        <v>379.45555769844907</v>
      </c>
      <c r="E148" s="56">
        <f t="shared" si="9"/>
        <v>2420.6655228923419</v>
      </c>
      <c r="F148" s="57">
        <f t="shared" si="13"/>
        <v>-1302.8517002521855</v>
      </c>
      <c r="G148" s="57">
        <f t="shared" si="7"/>
        <v>-2420.6655228923419</v>
      </c>
      <c r="H148" s="57">
        <f>-C147*Premissas!$C$30</f>
        <v>-182.13866769525552</v>
      </c>
      <c r="I148" s="58">
        <f t="shared" si="10"/>
        <v>-3910.5379607033328</v>
      </c>
    </row>
    <row r="149" spans="2:9" s="38" customFormat="1" ht="14.5" outlineLevel="1">
      <c r="B149" s="54">
        <f t="shared" si="11"/>
        <v>129</v>
      </c>
      <c r="C149" s="55">
        <f t="shared" si="12"/>
        <v>301714.86404417315</v>
      </c>
      <c r="D149" s="56">
        <f t="shared" si="8"/>
        <v>378.30131252025683</v>
      </c>
      <c r="E149" s="56">
        <f t="shared" si="9"/>
        <v>2413.3022323801101</v>
      </c>
      <c r="F149" s="57">
        <f t="shared" si="13"/>
        <v>-1304.4872845526097</v>
      </c>
      <c r="G149" s="57">
        <f t="shared" ref="G149:G212" si="14">-E149</f>
        <v>-2413.3022323801101</v>
      </c>
      <c r="H149" s="57">
        <f>-C148*Premissas!$C$30</f>
        <v>-181.58463000972327</v>
      </c>
      <c r="I149" s="58">
        <f t="shared" si="10"/>
        <v>-3904.2483646261212</v>
      </c>
    </row>
    <row r="150" spans="2:9" s="38" customFormat="1" ht="14.5" outlineLevel="1">
      <c r="B150" s="54">
        <f t="shared" si="11"/>
        <v>130</v>
      </c>
      <c r="C150" s="55">
        <f t="shared" si="12"/>
        <v>300785.8826716562</v>
      </c>
      <c r="D150" s="56">
        <f t="shared" ref="D150:D213" si="15">C149*(TR/12)</f>
        <v>377.14358005521643</v>
      </c>
      <c r="E150" s="56">
        <f t="shared" ref="E150:E213" si="16">C149*$C$9</f>
        <v>2405.916695375844</v>
      </c>
      <c r="F150" s="57">
        <f t="shared" si="13"/>
        <v>-1306.1249525721782</v>
      </c>
      <c r="G150" s="57">
        <f t="shared" si="14"/>
        <v>-2405.916695375844</v>
      </c>
      <c r="H150" s="57">
        <f>-C149*Premissas!$C$30</f>
        <v>-181.02891842650388</v>
      </c>
      <c r="I150" s="58">
        <f t="shared" ref="I150:I213" si="17">SUM(F150:H150)*(1+TR/12)</f>
        <v>-3897.9369045824942</v>
      </c>
    </row>
    <row r="151" spans="2:9" s="38" customFormat="1" ht="14.5" outlineLevel="1">
      <c r="B151" s="54">
        <f t="shared" ref="B151:B214" si="18">B150+1</f>
        <v>131</v>
      </c>
      <c r="C151" s="55">
        <f t="shared" ref="C151:C214" si="19">C150+F151+D151</f>
        <v>299854.10031772766</v>
      </c>
      <c r="D151" s="56">
        <f t="shared" si="15"/>
        <v>375.98235333957024</v>
      </c>
      <c r="E151" s="56">
        <f t="shared" si="16"/>
        <v>2398.5088674555577</v>
      </c>
      <c r="F151" s="57">
        <f t="shared" ref="F151:F214" si="20">IFERROR(-C150/($C$5-B150),"n/a")</f>
        <v>-1307.7647072680704</v>
      </c>
      <c r="G151" s="57">
        <f t="shared" si="14"/>
        <v>-2398.5088674555577</v>
      </c>
      <c r="H151" s="57">
        <f>-C150*Premissas!$C$30</f>
        <v>-180.47152960299371</v>
      </c>
      <c r="I151" s="58">
        <f t="shared" si="17"/>
        <v>-3891.60353570703</v>
      </c>
    </row>
    <row r="152" spans="2:9" s="38" customFormat="1" ht="14.5" outlineLevel="1">
      <c r="B152" s="54">
        <f t="shared" si="18"/>
        <v>132</v>
      </c>
      <c r="C152" s="55">
        <f t="shared" si="19"/>
        <v>298919.51139151904</v>
      </c>
      <c r="D152" s="56">
        <f t="shared" si="15"/>
        <v>374.81762539715959</v>
      </c>
      <c r="E152" s="56">
        <f t="shared" si="16"/>
        <v>2391.078704116157</v>
      </c>
      <c r="F152" s="57">
        <f t="shared" si="20"/>
        <v>-1309.4065516057976</v>
      </c>
      <c r="G152" s="57">
        <f t="shared" si="14"/>
        <v>-2391.078704116157</v>
      </c>
      <c r="H152" s="57">
        <f>-C151*Premissas!$C$30</f>
        <v>-179.91246019063658</v>
      </c>
      <c r="I152" s="58">
        <f t="shared" si="17"/>
        <v>-3885.2482130574817</v>
      </c>
    </row>
    <row r="153" spans="2:9" s="38" customFormat="1" ht="14.5" outlineLevel="1">
      <c r="B153" s="54">
        <f t="shared" si="18"/>
        <v>133</v>
      </c>
      <c r="C153" s="55">
        <f t="shared" si="19"/>
        <v>297982.11029219913</v>
      </c>
      <c r="D153" s="56">
        <f t="shared" si="15"/>
        <v>373.64938923939883</v>
      </c>
      <c r="E153" s="56">
        <f t="shared" si="16"/>
        <v>2383.6261607752713</v>
      </c>
      <c r="F153" s="57">
        <f t="shared" si="20"/>
        <v>-1311.0504885592941</v>
      </c>
      <c r="G153" s="57">
        <f t="shared" si="14"/>
        <v>-2383.6261607752713</v>
      </c>
      <c r="H153" s="57">
        <f>-C152*Premissas!$C$30</f>
        <v>-179.35170683491143</v>
      </c>
      <c r="I153" s="58">
        <f t="shared" si="17"/>
        <v>-3878.8708916146884</v>
      </c>
    </row>
    <row r="154" spans="2:9" s="38" customFormat="1" ht="14.5" outlineLevel="1">
      <c r="B154" s="54">
        <f t="shared" si="18"/>
        <v>134</v>
      </c>
      <c r="C154" s="55">
        <f t="shared" si="19"/>
        <v>297041.89140895335</v>
      </c>
      <c r="D154" s="56">
        <f t="shared" si="15"/>
        <v>372.47763786524894</v>
      </c>
      <c r="E154" s="56">
        <f t="shared" si="16"/>
        <v>2376.1511927710853</v>
      </c>
      <c r="F154" s="57">
        <f t="shared" si="20"/>
        <v>-1312.6965211110094</v>
      </c>
      <c r="G154" s="57">
        <f t="shared" si="14"/>
        <v>-2376.1511927710853</v>
      </c>
      <c r="H154" s="57">
        <f>-C153*Premissas!$C$30</f>
        <v>-178.78926617531945</v>
      </c>
      <c r="I154" s="58">
        <f t="shared" si="17"/>
        <v>-3872.4715262824857</v>
      </c>
    </row>
    <row r="155" spans="2:9" s="38" customFormat="1" ht="14.5" outlineLevel="1">
      <c r="B155" s="54">
        <f t="shared" si="18"/>
        <v>135</v>
      </c>
      <c r="C155" s="55">
        <f t="shared" si="19"/>
        <v>296098.84912096255</v>
      </c>
      <c r="D155" s="56">
        <f t="shared" si="15"/>
        <v>371.30236426119171</v>
      </c>
      <c r="E155" s="56">
        <f t="shared" si="16"/>
        <v>2368.6537553621765</v>
      </c>
      <c r="F155" s="57">
        <f t="shared" si="20"/>
        <v>-1314.344652252006</v>
      </c>
      <c r="G155" s="57">
        <f t="shared" si="14"/>
        <v>-2368.6537553621765</v>
      </c>
      <c r="H155" s="57">
        <f>-C154*Premissas!$C$30</f>
        <v>-178.225134845372</v>
      </c>
      <c r="I155" s="58">
        <f t="shared" si="17"/>
        <v>-3866.0500718876292</v>
      </c>
    </row>
    <row r="156" spans="2:9" s="38" customFormat="1" ht="14.5" outlineLevel="1">
      <c r="B156" s="54">
        <f t="shared" si="18"/>
        <v>136</v>
      </c>
      <c r="C156" s="55">
        <f t="shared" si="19"/>
        <v>295152.9777973817</v>
      </c>
      <c r="D156" s="56">
        <f t="shared" si="15"/>
        <v>370.12356140120318</v>
      </c>
      <c r="E156" s="56">
        <f t="shared" si="16"/>
        <v>2361.1338037273431</v>
      </c>
      <c r="F156" s="57">
        <f t="shared" si="20"/>
        <v>-1315.9948849820557</v>
      </c>
      <c r="G156" s="57">
        <f t="shared" si="14"/>
        <v>-2361.1338037273431</v>
      </c>
      <c r="H156" s="57">
        <f>-C155*Premissas!$C$30</f>
        <v>-177.65930947257752</v>
      </c>
      <c r="I156" s="58">
        <f t="shared" si="17"/>
        <v>-3859.6064831797039</v>
      </c>
    </row>
    <row r="157" spans="2:9" s="38" customFormat="1" ht="14.5" outlineLevel="1">
      <c r="B157" s="54">
        <f t="shared" si="18"/>
        <v>137</v>
      </c>
      <c r="C157" s="55">
        <f t="shared" si="19"/>
        <v>294204.27179731871</v>
      </c>
      <c r="D157" s="56">
        <f t="shared" si="15"/>
        <v>368.94122224672714</v>
      </c>
      <c r="E157" s="56">
        <f t="shared" si="16"/>
        <v>2353.5912929654364</v>
      </c>
      <c r="F157" s="57">
        <f t="shared" si="20"/>
        <v>-1317.6472223097396</v>
      </c>
      <c r="G157" s="57">
        <f t="shared" si="14"/>
        <v>-2353.5912929654364</v>
      </c>
      <c r="H157" s="57">
        <f>-C156*Premissas!$C$30</f>
        <v>-177.091786678429</v>
      </c>
      <c r="I157" s="58">
        <f t="shared" si="17"/>
        <v>-3853.1407148310468</v>
      </c>
    </row>
    <row r="158" spans="2:9" s="38" customFormat="1" ht="14.5" outlineLevel="1">
      <c r="B158" s="54">
        <f t="shared" si="18"/>
        <v>138</v>
      </c>
      <c r="C158" s="55">
        <f t="shared" si="19"/>
        <v>293252.72546981281</v>
      </c>
      <c r="D158" s="56">
        <f t="shared" si="15"/>
        <v>367.75533974664842</v>
      </c>
      <c r="E158" s="56">
        <f t="shared" si="16"/>
        <v>2346.0261780951905</v>
      </c>
      <c r="F158" s="57">
        <f t="shared" si="20"/>
        <v>-1319.3016672525503</v>
      </c>
      <c r="G158" s="57">
        <f t="shared" si="14"/>
        <v>-2346.0261780951905</v>
      </c>
      <c r="H158" s="57">
        <f>-C157*Premissas!$C$30</f>
        <v>-176.52256307839122</v>
      </c>
      <c r="I158" s="58">
        <f t="shared" si="17"/>
        <v>-3846.6527214366643</v>
      </c>
    </row>
    <row r="159" spans="2:9" s="38" customFormat="1" ht="14.5" outlineLevel="1">
      <c r="B159" s="54">
        <f t="shared" si="18"/>
        <v>139</v>
      </c>
      <c r="C159" s="55">
        <f t="shared" si="19"/>
        <v>292298.33315381309</v>
      </c>
      <c r="D159" s="56">
        <f t="shared" si="15"/>
        <v>366.56590683726603</v>
      </c>
      <c r="E159" s="56">
        <f t="shared" si="16"/>
        <v>2338.438414055051</v>
      </c>
      <c r="F159" s="57">
        <f t="shared" si="20"/>
        <v>-1320.9582228369945</v>
      </c>
      <c r="G159" s="57">
        <f t="shared" si="14"/>
        <v>-2338.438414055051</v>
      </c>
      <c r="H159" s="57">
        <f>-C158*Premissas!$C$30</f>
        <v>-175.95163528188766</v>
      </c>
      <c r="I159" s="58">
        <f t="shared" si="17"/>
        <v>-3840.1424575141505</v>
      </c>
    </row>
    <row r="160" spans="2:9" s="38" customFormat="1" ht="14.5" outlineLevel="1">
      <c r="B160" s="54">
        <f t="shared" si="18"/>
        <v>140</v>
      </c>
      <c r="C160" s="55">
        <f t="shared" si="19"/>
        <v>291341.08917815669</v>
      </c>
      <c r="D160" s="56">
        <f t="shared" si="15"/>
        <v>365.37291644226639</v>
      </c>
      <c r="E160" s="56">
        <f t="shared" si="16"/>
        <v>2330.8279557030023</v>
      </c>
      <c r="F160" s="57">
        <f t="shared" si="20"/>
        <v>-1322.6168920987018</v>
      </c>
      <c r="G160" s="57">
        <f t="shared" si="14"/>
        <v>-2330.8279557030023</v>
      </c>
      <c r="H160" s="57">
        <f>-C159*Premissas!$C$30</f>
        <v>-175.37899989228785</v>
      </c>
      <c r="I160" s="58">
        <f t="shared" si="17"/>
        <v>-3833.6098775036094</v>
      </c>
    </row>
    <row r="161" spans="2:9" s="38" customFormat="1" ht="14.5" outlineLevel="1">
      <c r="B161" s="54">
        <f t="shared" si="18"/>
        <v>141</v>
      </c>
      <c r="C161" s="55">
        <f t="shared" si="19"/>
        <v>290380.98786154686</v>
      </c>
      <c r="D161" s="56">
        <f t="shared" si="15"/>
        <v>364.17636147269587</v>
      </c>
      <c r="E161" s="56">
        <f t="shared" si="16"/>
        <v>2323.1947578163963</v>
      </c>
      <c r="F161" s="57">
        <f t="shared" si="20"/>
        <v>-1324.2776780825304</v>
      </c>
      <c r="G161" s="57">
        <f t="shared" si="14"/>
        <v>-2323.1947578163963</v>
      </c>
      <c r="H161" s="57">
        <f>-C160*Premissas!$C$30</f>
        <v>-174.804653506894</v>
      </c>
      <c r="I161" s="58">
        <f t="shared" si="17"/>
        <v>-3827.0549357675782</v>
      </c>
    </row>
    <row r="162" spans="2:9" s="38" customFormat="1" ht="14.5" outlineLevel="1">
      <c r="B162" s="54">
        <f t="shared" si="18"/>
        <v>142</v>
      </c>
      <c r="C162" s="55">
        <f t="shared" si="19"/>
        <v>289418.02351253113</v>
      </c>
      <c r="D162" s="56">
        <f t="shared" si="15"/>
        <v>362.97623482693359</v>
      </c>
      <c r="E162" s="56">
        <f t="shared" si="16"/>
        <v>2315.5387750917739</v>
      </c>
      <c r="F162" s="57">
        <f t="shared" si="20"/>
        <v>-1325.9405838426796</v>
      </c>
      <c r="G162" s="57">
        <f t="shared" si="14"/>
        <v>-2315.5387750917739</v>
      </c>
      <c r="H162" s="57">
        <f>-C161*Premissas!$C$30</f>
        <v>-174.22859271692809</v>
      </c>
      <c r="I162" s="58">
        <f t="shared" si="17"/>
        <v>-3820.477586590946</v>
      </c>
    </row>
    <row r="163" spans="2:9" s="38" customFormat="1" ht="14.5" outlineLevel="1">
      <c r="B163" s="54">
        <f t="shared" si="18"/>
        <v>143</v>
      </c>
      <c r="C163" s="55">
        <f t="shared" si="19"/>
        <v>288452.19042947894</v>
      </c>
      <c r="D163" s="56">
        <f t="shared" si="15"/>
        <v>361.77252939066392</v>
      </c>
      <c r="E163" s="56">
        <f t="shared" si="16"/>
        <v>2307.8599621446947</v>
      </c>
      <c r="F163" s="57">
        <f t="shared" si="20"/>
        <v>-1327.6056124428032</v>
      </c>
      <c r="G163" s="57">
        <f t="shared" si="14"/>
        <v>-2307.8599621446947</v>
      </c>
      <c r="H163" s="57">
        <f>-C162*Premissas!$C$30</f>
        <v>-173.65081410751867</v>
      </c>
      <c r="I163" s="58">
        <f t="shared" si="17"/>
        <v>-3813.8777841808856</v>
      </c>
    </row>
    <row r="164" spans="2:9" s="38" customFormat="1" ht="14.5" outlineLevel="1">
      <c r="B164" s="54">
        <f t="shared" si="18"/>
        <v>144</v>
      </c>
      <c r="C164" s="55">
        <f t="shared" si="19"/>
        <v>287483.48290055967</v>
      </c>
      <c r="D164" s="56">
        <f t="shared" si="15"/>
        <v>360.56523803684871</v>
      </c>
      <c r="E164" s="56">
        <f t="shared" si="16"/>
        <v>2300.1582735095553</v>
      </c>
      <c r="F164" s="57">
        <f t="shared" si="20"/>
        <v>-1329.2727669561241</v>
      </c>
      <c r="G164" s="57">
        <f t="shared" si="14"/>
        <v>-2300.1582735095553</v>
      </c>
      <c r="H164" s="57">
        <f>-C163*Premissas!$C$30</f>
        <v>-173.07131425768736</v>
      </c>
      <c r="I164" s="58">
        <f t="shared" si="17"/>
        <v>-3807.2554826667711</v>
      </c>
    </row>
    <row r="165" spans="2:9" s="38" customFormat="1" ht="14.5" outlineLevel="1">
      <c r="B165" s="54">
        <f t="shared" si="18"/>
        <v>145</v>
      </c>
      <c r="C165" s="55">
        <f t="shared" si="19"/>
        <v>286511.89520371979</v>
      </c>
      <c r="D165" s="56">
        <f t="shared" si="15"/>
        <v>359.35435362569962</v>
      </c>
      <c r="E165" s="56">
        <f t="shared" si="16"/>
        <v>2292.4336636394169</v>
      </c>
      <c r="F165" s="57">
        <f t="shared" si="20"/>
        <v>-1330.9420504655541</v>
      </c>
      <c r="G165" s="57">
        <f t="shared" si="14"/>
        <v>-2292.4336636394169</v>
      </c>
      <c r="H165" s="57">
        <f>-C164*Premissas!$C$30</f>
        <v>-172.49008974033578</v>
      </c>
      <c r="I165" s="58">
        <f t="shared" si="17"/>
        <v>-3800.6106361001134</v>
      </c>
    </row>
    <row r="166" spans="2:9" s="38" customFormat="1" ht="14.5" outlineLevel="1">
      <c r="B166" s="54">
        <f t="shared" si="18"/>
        <v>146</v>
      </c>
      <c r="C166" s="55">
        <f t="shared" si="19"/>
        <v>285537.42160666065</v>
      </c>
      <c r="D166" s="56">
        <f t="shared" si="15"/>
        <v>358.13986900464977</v>
      </c>
      <c r="E166" s="56">
        <f t="shared" si="16"/>
        <v>2284.6860869058205</v>
      </c>
      <c r="F166" s="57">
        <f t="shared" si="20"/>
        <v>-1332.6134660638129</v>
      </c>
      <c r="G166" s="57">
        <f t="shared" si="14"/>
        <v>-2284.6860869058205</v>
      </c>
      <c r="H166" s="57">
        <f>-C165*Premissas!$C$30</f>
        <v>-171.90713712223186</v>
      </c>
      <c r="I166" s="58">
        <f t="shared" si="17"/>
        <v>-3793.9431984544799</v>
      </c>
    </row>
    <row r="167" spans="2:9" s="38" customFormat="1" ht="14.5" outlineLevel="1">
      <c r="B167" s="54">
        <f t="shared" si="18"/>
        <v>147</v>
      </c>
      <c r="C167" s="55">
        <f t="shared" si="19"/>
        <v>284560.05636681541</v>
      </c>
      <c r="D167" s="56">
        <f t="shared" si="15"/>
        <v>356.92177700832582</v>
      </c>
      <c r="E167" s="56">
        <f t="shared" si="16"/>
        <v>2276.9154975986121</v>
      </c>
      <c r="F167" s="57">
        <f t="shared" si="20"/>
        <v>-1334.2870168535544</v>
      </c>
      <c r="G167" s="57">
        <f t="shared" si="14"/>
        <v>-2276.9154975986121</v>
      </c>
      <c r="H167" s="57">
        <f>-C166*Premissas!$C$30</f>
        <v>-171.32245296399637</v>
      </c>
      <c r="I167" s="58">
        <f t="shared" si="17"/>
        <v>-3787.2531236254335</v>
      </c>
    </row>
    <row r="168" spans="2:9" s="38" customFormat="1" ht="14.5" outlineLevel="1">
      <c r="B168" s="54">
        <f t="shared" si="18"/>
        <v>148</v>
      </c>
      <c r="C168" s="55">
        <f t="shared" si="19"/>
        <v>283579.79373132641</v>
      </c>
      <c r="D168" s="56">
        <f t="shared" si="15"/>
        <v>355.70007045851929</v>
      </c>
      <c r="E168" s="56">
        <f t="shared" si="16"/>
        <v>2269.1218499257566</v>
      </c>
      <c r="F168" s="57">
        <f t="shared" si="20"/>
        <v>-1335.9627059474901</v>
      </c>
      <c r="G168" s="57">
        <f t="shared" si="14"/>
        <v>-2269.1218499257566</v>
      </c>
      <c r="H168" s="57">
        <f>-C167*Premissas!$C$30</f>
        <v>-170.73603382008923</v>
      </c>
      <c r="I168" s="58">
        <f t="shared" si="17"/>
        <v>-3780.5403654304523</v>
      </c>
    </row>
    <row r="169" spans="2:9" s="38" customFormat="1" ht="14.5" outlineLevel="1">
      <c r="B169" s="54">
        <f t="shared" si="18"/>
        <v>149</v>
      </c>
      <c r="C169" s="55">
        <f t="shared" si="19"/>
        <v>282596.62793702201</v>
      </c>
      <c r="D169" s="56">
        <f t="shared" si="15"/>
        <v>354.47474216415804</v>
      </c>
      <c r="E169" s="56">
        <f t="shared" si="16"/>
        <v>2261.3050980131602</v>
      </c>
      <c r="F169" s="57">
        <f t="shared" si="20"/>
        <v>-1337.6405364685208</v>
      </c>
      <c r="G169" s="57">
        <f t="shared" si="14"/>
        <v>-2261.3050980131602</v>
      </c>
      <c r="H169" s="57">
        <f>-C168*Premissas!$C$30</f>
        <v>-170.14787623879585</v>
      </c>
      <c r="I169" s="58">
        <f t="shared" si="17"/>
        <v>-3773.8048776088772</v>
      </c>
    </row>
    <row r="170" spans="2:9" s="38" customFormat="1" ht="14.5" outlineLevel="1">
      <c r="B170" s="54">
        <f t="shared" si="18"/>
        <v>150</v>
      </c>
      <c r="C170" s="55">
        <f t="shared" si="19"/>
        <v>281610.55321039341</v>
      </c>
      <c r="D170" s="56">
        <f t="shared" si="15"/>
        <v>353.2457849212775</v>
      </c>
      <c r="E170" s="56">
        <f t="shared" si="16"/>
        <v>2253.4651959044822</v>
      </c>
      <c r="F170" s="57">
        <f t="shared" si="20"/>
        <v>-1339.3205115498674</v>
      </c>
      <c r="G170" s="57">
        <f t="shared" si="14"/>
        <v>-2253.4651959044822</v>
      </c>
      <c r="H170" s="57">
        <f>-C169*Premissas!$C$30</f>
        <v>-169.5579767622132</v>
      </c>
      <c r="I170" s="58">
        <f t="shared" si="17"/>
        <v>-3767.0466138218335</v>
      </c>
    </row>
    <row r="171" spans="2:9" s="38" customFormat="1" ht="14.5" outlineLevel="1">
      <c r="B171" s="54">
        <f t="shared" si="18"/>
        <v>151</v>
      </c>
      <c r="C171" s="55">
        <f t="shared" si="19"/>
        <v>280621.56376757124</v>
      </c>
      <c r="D171" s="56">
        <f t="shared" si="15"/>
        <v>352.0131915129918</v>
      </c>
      <c r="E171" s="56">
        <f t="shared" si="16"/>
        <v>2245.6020975609526</v>
      </c>
      <c r="F171" s="57">
        <f t="shared" si="20"/>
        <v>-1341.0026343352067</v>
      </c>
      <c r="G171" s="57">
        <f t="shared" si="14"/>
        <v>-2245.6020975609526</v>
      </c>
      <c r="H171" s="57">
        <f>-C170*Premissas!$C$30</f>
        <v>-168.96633192623602</v>
      </c>
      <c r="I171" s="58">
        <f t="shared" si="17"/>
        <v>-3760.2655276521728</v>
      </c>
    </row>
    <row r="172" spans="2:9" s="38" customFormat="1" ht="14.5" outlineLevel="1">
      <c r="B172" s="54">
        <f t="shared" si="18"/>
        <v>152</v>
      </c>
      <c r="C172" s="55">
        <f t="shared" si="19"/>
        <v>279629.65381430188</v>
      </c>
      <c r="D172" s="56">
        <f t="shared" si="15"/>
        <v>350.77695470946406</v>
      </c>
      <c r="E172" s="56">
        <f t="shared" si="16"/>
        <v>2237.7157568611856</v>
      </c>
      <c r="F172" s="57">
        <f t="shared" si="20"/>
        <v>-1342.6869079788098</v>
      </c>
      <c r="G172" s="57">
        <f t="shared" si="14"/>
        <v>-2237.7157568611856</v>
      </c>
      <c r="H172" s="57">
        <f>-C171*Premissas!$C$30</f>
        <v>-168.37293826054272</v>
      </c>
      <c r="I172" s="58">
        <f t="shared" si="17"/>
        <v>-3753.461572604414</v>
      </c>
    </row>
    <row r="173" spans="2:9" s="38" customFormat="1" ht="14.5" outlineLevel="1">
      <c r="B173" s="54">
        <f t="shared" si="18"/>
        <v>153</v>
      </c>
      <c r="C173" s="55">
        <f t="shared" si="19"/>
        <v>278634.81754592404</v>
      </c>
      <c r="D173" s="56">
        <f t="shared" si="15"/>
        <v>349.53706726787738</v>
      </c>
      <c r="E173" s="56">
        <f t="shared" si="16"/>
        <v>2229.8061276009885</v>
      </c>
      <c r="F173" s="57">
        <f t="shared" si="20"/>
        <v>-1344.3733356456821</v>
      </c>
      <c r="G173" s="57">
        <f t="shared" si="14"/>
        <v>-2229.8061276009885</v>
      </c>
      <c r="H173" s="57">
        <f>-C172*Premissas!$C$30</f>
        <v>-167.77779228858111</v>
      </c>
      <c r="I173" s="58">
        <f t="shared" si="17"/>
        <v>-3746.6347021046709</v>
      </c>
    </row>
    <row r="174" spans="2:9" s="38" customFormat="1" ht="14.5" outlineLevel="1">
      <c r="B174" s="54">
        <f t="shared" si="18"/>
        <v>154</v>
      </c>
      <c r="C174" s="55">
        <f t="shared" si="19"/>
        <v>277637.04914734472</v>
      </c>
      <c r="D174" s="56">
        <f t="shared" si="15"/>
        <v>348.29352193240504</v>
      </c>
      <c r="E174" s="56">
        <f t="shared" si="16"/>
        <v>2221.8731634931769</v>
      </c>
      <c r="F174" s="57">
        <f t="shared" si="20"/>
        <v>-1346.0619205117105</v>
      </c>
      <c r="G174" s="57">
        <f t="shared" si="14"/>
        <v>-2221.8731634931769</v>
      </c>
      <c r="H174" s="57">
        <f>-C173*Premissas!$C$30</f>
        <v>-167.18089052755442</v>
      </c>
      <c r="I174" s="58">
        <f t="shared" si="17"/>
        <v>-3739.7848695006073</v>
      </c>
    </row>
    <row r="175" spans="2:9" s="38" customFormat="1" ht="14.5" outlineLevel="1">
      <c r="B175" s="54">
        <f t="shared" si="18"/>
        <v>155</v>
      </c>
      <c r="C175" s="55">
        <f t="shared" si="19"/>
        <v>276636.34279301506</v>
      </c>
      <c r="D175" s="56">
        <f t="shared" si="15"/>
        <v>347.04631143418089</v>
      </c>
      <c r="E175" s="56">
        <f t="shared" si="16"/>
        <v>2213.9168181673831</v>
      </c>
      <c r="F175" s="57">
        <f t="shared" si="20"/>
        <v>-1347.7526657638093</v>
      </c>
      <c r="G175" s="57">
        <f t="shared" si="14"/>
        <v>-2213.9168181673831</v>
      </c>
      <c r="H175" s="57">
        <f>-C174*Premissas!$C$30</f>
        <v>-166.58222948840682</v>
      </c>
      <c r="I175" s="58">
        <f t="shared" si="17"/>
        <v>-3732.9120280613733</v>
      </c>
    </row>
    <row r="176" spans="2:9" s="38" customFormat="1" ht="14.5" outlineLevel="1">
      <c r="B176" s="54">
        <f t="shared" si="18"/>
        <v>156</v>
      </c>
      <c r="C176" s="55">
        <f t="shared" si="19"/>
        <v>275632.69264690625</v>
      </c>
      <c r="D176" s="56">
        <f t="shared" si="15"/>
        <v>345.79542849126886</v>
      </c>
      <c r="E176" s="56">
        <f t="shared" si="16"/>
        <v>2205.9370451698619</v>
      </c>
      <c r="F176" s="57">
        <f t="shared" si="20"/>
        <v>-1349.4455746000735</v>
      </c>
      <c r="G176" s="57">
        <f t="shared" si="14"/>
        <v>-2205.9370451698619</v>
      </c>
      <c r="H176" s="57">
        <f>-C175*Premissas!$C$30</f>
        <v>-165.98180567580903</v>
      </c>
      <c r="I176" s="58">
        <f t="shared" si="17"/>
        <v>-3726.0161309775517</v>
      </c>
    </row>
    <row r="177" spans="2:9" s="38" customFormat="1" ht="14.5" outlineLevel="1">
      <c r="B177" s="54">
        <f t="shared" si="18"/>
        <v>157</v>
      </c>
      <c r="C177" s="55">
        <f t="shared" si="19"/>
        <v>274626.09286248492</v>
      </c>
      <c r="D177" s="56">
        <f t="shared" si="15"/>
        <v>344.54086580863282</v>
      </c>
      <c r="E177" s="56">
        <f t="shared" si="16"/>
        <v>2197.9337979633005</v>
      </c>
      <c r="F177" s="57">
        <f t="shared" si="20"/>
        <v>-1351.1406502299326</v>
      </c>
      <c r="G177" s="57">
        <f t="shared" si="14"/>
        <v>-2197.9337979633005</v>
      </c>
      <c r="H177" s="57">
        <f>-C176*Premissas!$C$30</f>
        <v>-165.37961558814374</v>
      </c>
      <c r="I177" s="58">
        <f t="shared" si="17"/>
        <v>-3719.0971313611035</v>
      </c>
    </row>
    <row r="178" spans="2:9" s="38" customFormat="1" ht="14.5" outlineLevel="1">
      <c r="B178" s="54">
        <f t="shared" si="18"/>
        <v>158</v>
      </c>
      <c r="C178" s="55">
        <f t="shared" si="19"/>
        <v>273616.53758268873</v>
      </c>
      <c r="D178" s="56">
        <f t="shared" si="15"/>
        <v>343.28261607810617</v>
      </c>
      <c r="E178" s="56">
        <f t="shared" si="16"/>
        <v>2189.9070299266205</v>
      </c>
      <c r="F178" s="57">
        <f t="shared" si="20"/>
        <v>-1352.8378958743099</v>
      </c>
      <c r="G178" s="57">
        <f t="shared" si="14"/>
        <v>-2189.9070299266205</v>
      </c>
      <c r="H178" s="57">
        <f>-C177*Premissas!$C$30</f>
        <v>-164.77565571749093</v>
      </c>
      <c r="I178" s="58">
        <f t="shared" si="17"/>
        <v>-3712.1549822453189</v>
      </c>
    </row>
    <row r="179" spans="2:9" s="38" customFormat="1" ht="14.5" outlineLevel="1">
      <c r="B179" s="54">
        <f t="shared" si="18"/>
        <v>159</v>
      </c>
      <c r="C179" s="55">
        <f t="shared" si="19"/>
        <v>272604.0209399013</v>
      </c>
      <c r="D179" s="56">
        <f t="shared" si="15"/>
        <v>342.02067197836089</v>
      </c>
      <c r="E179" s="56">
        <f t="shared" si="16"/>
        <v>2181.8566943547844</v>
      </c>
      <c r="F179" s="57">
        <f t="shared" si="20"/>
        <v>-1354.5373147657858</v>
      </c>
      <c r="G179" s="57">
        <f t="shared" si="14"/>
        <v>-2181.8566943547844</v>
      </c>
      <c r="H179" s="57">
        <f>-C178*Premissas!$C$30</f>
        <v>-164.16992254961323</v>
      </c>
      <c r="I179" s="58">
        <f t="shared" si="17"/>
        <v>-3705.1896365847711</v>
      </c>
    </row>
    <row r="180" spans="2:9" s="38" customFormat="1" ht="14.5" outlineLevel="1">
      <c r="B180" s="54">
        <f t="shared" si="18"/>
        <v>160</v>
      </c>
      <c r="C180" s="55">
        <f t="shared" si="19"/>
        <v>271588.53705592745</v>
      </c>
      <c r="D180" s="56">
        <f t="shared" si="15"/>
        <v>340.7550261748766</v>
      </c>
      <c r="E180" s="56">
        <f t="shared" si="16"/>
        <v>2173.7827444585951</v>
      </c>
      <c r="F180" s="57">
        <f t="shared" si="20"/>
        <v>-1356.2389101487627</v>
      </c>
      <c r="G180" s="57">
        <f t="shared" si="14"/>
        <v>-2173.7827444585951</v>
      </c>
      <c r="H180" s="57">
        <f>-C179*Premissas!$C$30</f>
        <v>-163.56241256394077</v>
      </c>
      <c r="I180" s="58">
        <f t="shared" si="17"/>
        <v>-3698.2010472552624</v>
      </c>
    </row>
    <row r="181" spans="2:9" s="38" customFormat="1" ht="14.5" outlineLevel="1">
      <c r="B181" s="54">
        <f t="shared" si="18"/>
        <v>161</v>
      </c>
      <c r="C181" s="55">
        <f t="shared" si="19"/>
        <v>270570.08004196768</v>
      </c>
      <c r="D181" s="56">
        <f t="shared" si="15"/>
        <v>339.48567131990933</v>
      </c>
      <c r="E181" s="56">
        <f t="shared" si="16"/>
        <v>2165.6851333644991</v>
      </c>
      <c r="F181" s="57">
        <f t="shared" si="20"/>
        <v>-1357.9426852796373</v>
      </c>
      <c r="G181" s="57">
        <f t="shared" si="14"/>
        <v>-2165.6851333644991</v>
      </c>
      <c r="H181" s="57">
        <f>-C180*Premissas!$C$30</f>
        <v>-162.95312223355646</v>
      </c>
      <c r="I181" s="58">
        <f t="shared" si="17"/>
        <v>-3691.1891670537898</v>
      </c>
    </row>
    <row r="182" spans="2:9" s="38" customFormat="1" ht="14.5" outlineLevel="1">
      <c r="B182" s="54">
        <f t="shared" si="18"/>
        <v>162</v>
      </c>
      <c r="C182" s="55">
        <f t="shared" si="19"/>
        <v>269548.64399859321</v>
      </c>
      <c r="D182" s="56">
        <f t="shared" si="15"/>
        <v>338.21260005245961</v>
      </c>
      <c r="E182" s="56">
        <f t="shared" si="16"/>
        <v>2157.5638141143818</v>
      </c>
      <c r="F182" s="57">
        <f t="shared" si="20"/>
        <v>-1359.6486434269732</v>
      </c>
      <c r="G182" s="57">
        <f t="shared" si="14"/>
        <v>-2157.5638141143818</v>
      </c>
      <c r="H182" s="57">
        <f>-C181*Premissas!$C$30</f>
        <v>-162.34204802518059</v>
      </c>
      <c r="I182" s="58">
        <f t="shared" si="17"/>
        <v>-3684.1539486984939</v>
      </c>
    </row>
    <row r="183" spans="2:9" s="38" customFormat="1" ht="14.5" outlineLevel="1">
      <c r="B183" s="54">
        <f t="shared" si="18"/>
        <v>163</v>
      </c>
      <c r="C183" s="55">
        <f t="shared" si="19"/>
        <v>268524.22301571979</v>
      </c>
      <c r="D183" s="56">
        <f t="shared" si="15"/>
        <v>336.93580499824151</v>
      </c>
      <c r="E183" s="56">
        <f t="shared" si="16"/>
        <v>2149.4187396653701</v>
      </c>
      <c r="F183" s="57">
        <f t="shared" si="20"/>
        <v>-1361.3567878716829</v>
      </c>
      <c r="G183" s="57">
        <f t="shared" si="14"/>
        <v>-2149.4187396653701</v>
      </c>
      <c r="H183" s="57">
        <f>-C182*Premissas!$C$30</f>
        <v>-161.72918639915591</v>
      </c>
      <c r="I183" s="58">
        <f t="shared" si="17"/>
        <v>-3677.0953448286286</v>
      </c>
    </row>
    <row r="184" spans="2:9" s="38" customFormat="1" ht="14.5" outlineLevel="1">
      <c r="B184" s="54">
        <f t="shared" si="18"/>
        <v>164</v>
      </c>
      <c r="C184" s="55">
        <f t="shared" si="19"/>
        <v>267496.81117258227</v>
      </c>
      <c r="D184" s="56">
        <f t="shared" si="15"/>
        <v>335.65527876964973</v>
      </c>
      <c r="E184" s="56">
        <f t="shared" si="16"/>
        <v>2141.2498628896219</v>
      </c>
      <c r="F184" s="57">
        <f t="shared" si="20"/>
        <v>-1363.0671219072071</v>
      </c>
      <c r="G184" s="57">
        <f t="shared" si="14"/>
        <v>-2141.2498628896219</v>
      </c>
      <c r="H184" s="57">
        <f>-C183*Premissas!$C$30</f>
        <v>-161.11453380943186</v>
      </c>
      <c r="I184" s="58">
        <f t="shared" si="17"/>
        <v>-3670.0133080045189</v>
      </c>
    </row>
    <row r="185" spans="2:9" s="38" customFormat="1" ht="14.5" outlineLevel="1">
      <c r="B185" s="54">
        <f t="shared" si="18"/>
        <v>165</v>
      </c>
      <c r="C185" s="55">
        <f t="shared" si="19"/>
        <v>266466.40253770829</v>
      </c>
      <c r="D185" s="56">
        <f t="shared" si="15"/>
        <v>334.37101396572785</v>
      </c>
      <c r="E185" s="56">
        <f t="shared" si="16"/>
        <v>2133.0571365741243</v>
      </c>
      <c r="F185" s="57">
        <f t="shared" si="20"/>
        <v>-1364.7796488397055</v>
      </c>
      <c r="G185" s="57">
        <f t="shared" si="14"/>
        <v>-2133.0571365741243</v>
      </c>
      <c r="H185" s="57">
        <f>-C184*Premissas!$C$30</f>
        <v>-160.49808670354935</v>
      </c>
      <c r="I185" s="58">
        <f t="shared" si="17"/>
        <v>-3662.9077907075252</v>
      </c>
    </row>
    <row r="186" spans="2:9" s="38" customFormat="1" ht="14.5" outlineLevel="1">
      <c r="B186" s="54">
        <f t="shared" si="18"/>
        <v>166</v>
      </c>
      <c r="C186" s="55">
        <f t="shared" si="19"/>
        <v>265432.99116889219</v>
      </c>
      <c r="D186" s="56">
        <f t="shared" si="15"/>
        <v>333.08300317213536</v>
      </c>
      <c r="E186" s="56">
        <f t="shared" si="16"/>
        <v>2124.8405134204841</v>
      </c>
      <c r="F186" s="57">
        <f t="shared" si="20"/>
        <v>-1366.4943719882476</v>
      </c>
      <c r="G186" s="57">
        <f t="shared" si="14"/>
        <v>-2124.8405134204841</v>
      </c>
      <c r="H186" s="57">
        <f>-C185*Premissas!$C$30</f>
        <v>-159.87984152262496</v>
      </c>
      <c r="I186" s="58">
        <f t="shared" si="17"/>
        <v>-3655.778745340021</v>
      </c>
    </row>
    <row r="187" spans="2:9" s="38" customFormat="1" ht="14.5" outlineLevel="1">
      <c r="B187" s="54">
        <f t="shared" si="18"/>
        <v>167</v>
      </c>
      <c r="C187" s="55">
        <f t="shared" si="19"/>
        <v>264396.57111316826</v>
      </c>
      <c r="D187" s="56">
        <f t="shared" si="15"/>
        <v>331.79123896111525</v>
      </c>
      <c r="E187" s="56">
        <f t="shared" si="16"/>
        <v>2116.5999460447192</v>
      </c>
      <c r="F187" s="57">
        <f t="shared" si="20"/>
        <v>-1368.2112946850114</v>
      </c>
      <c r="G187" s="57">
        <f t="shared" si="14"/>
        <v>-2116.5999460447192</v>
      </c>
      <c r="H187" s="57">
        <f>-C186*Premissas!$C$30</f>
        <v>-159.2597947013353</v>
      </c>
      <c r="I187" s="58">
        <f t="shared" si="17"/>
        <v>-3648.6261242253545</v>
      </c>
    </row>
    <row r="188" spans="2:9" s="38" customFormat="1" ht="14.5" outlineLevel="1">
      <c r="B188" s="54">
        <f t="shared" si="18"/>
        <v>168</v>
      </c>
      <c r="C188" s="55">
        <f t="shared" si="19"/>
        <v>263357.13640678424</v>
      </c>
      <c r="D188" s="56">
        <f t="shared" si="15"/>
        <v>330.49571389146035</v>
      </c>
      <c r="E188" s="56">
        <f t="shared" si="16"/>
        <v>2108.335386977044</v>
      </c>
      <c r="F188" s="57">
        <f t="shared" si="20"/>
        <v>-1369.9304202754831</v>
      </c>
      <c r="G188" s="57">
        <f t="shared" si="14"/>
        <v>-2108.335386977044</v>
      </c>
      <c r="H188" s="57">
        <f>-C187*Premissas!$C$30</f>
        <v>-158.63794266790094</v>
      </c>
      <c r="I188" s="58">
        <f t="shared" si="17"/>
        <v>-3641.4498796078287</v>
      </c>
    </row>
    <row r="189" spans="2:9" s="38" customFormat="1" ht="14.5" outlineLevel="1">
      <c r="B189" s="54">
        <f t="shared" si="18"/>
        <v>169</v>
      </c>
      <c r="C189" s="55">
        <f t="shared" si="19"/>
        <v>262314.68107517407</v>
      </c>
      <c r="D189" s="56">
        <f t="shared" si="15"/>
        <v>329.19642050848029</v>
      </c>
      <c r="E189" s="56">
        <f t="shared" si="16"/>
        <v>2100.0467886616616</v>
      </c>
      <c r="F189" s="57">
        <f t="shared" si="20"/>
        <v>-1371.6517521186679</v>
      </c>
      <c r="G189" s="57">
        <f t="shared" si="14"/>
        <v>-2100.0467886616616</v>
      </c>
      <c r="H189" s="57">
        <f>-C188*Premissas!$C$30</f>
        <v>-158.01428184407052</v>
      </c>
      <c r="I189" s="58">
        <f t="shared" si="17"/>
        <v>-3634.2499636526804</v>
      </c>
    </row>
    <row r="190" spans="2:9" s="38" customFormat="1" ht="14.5" outlineLevel="1">
      <c r="B190" s="54">
        <f t="shared" si="18"/>
        <v>170</v>
      </c>
      <c r="C190" s="55">
        <f t="shared" si="19"/>
        <v>261269.19913293072</v>
      </c>
      <c r="D190" s="56">
        <f t="shared" si="15"/>
        <v>327.89335134396759</v>
      </c>
      <c r="E190" s="56">
        <f t="shared" si="16"/>
        <v>2091.7341034565429</v>
      </c>
      <c r="F190" s="57">
        <f t="shared" si="20"/>
        <v>-1373.3752935872988</v>
      </c>
      <c r="G190" s="57">
        <f t="shared" si="14"/>
        <v>-2091.7341034565429</v>
      </c>
      <c r="H190" s="57">
        <f>-C189*Premissas!$C$30</f>
        <v>-157.38880864510443</v>
      </c>
      <c r="I190" s="58">
        <f t="shared" si="17"/>
        <v>-3627.0263284460571</v>
      </c>
    </row>
    <row r="191" spans="2:9" s="38" customFormat="1" ht="14.5" outlineLevel="1">
      <c r="B191" s="54">
        <f t="shared" si="18"/>
        <v>171</v>
      </c>
      <c r="C191" s="55">
        <f t="shared" si="19"/>
        <v>260220.68458377881</v>
      </c>
      <c r="D191" s="56">
        <f t="shared" si="15"/>
        <v>326.58649891616341</v>
      </c>
      <c r="E191" s="56">
        <f t="shared" si="16"/>
        <v>2083.3972836332114</v>
      </c>
      <c r="F191" s="57">
        <f t="shared" si="20"/>
        <v>-1375.1010480680563</v>
      </c>
      <c r="G191" s="57">
        <f t="shared" si="14"/>
        <v>-2083.3972836332114</v>
      </c>
      <c r="H191" s="57">
        <f>-C190*Premissas!$C$30</f>
        <v>-156.76151947975842</v>
      </c>
      <c r="I191" s="58">
        <f t="shared" si="17"/>
        <v>-3619.7789259950023</v>
      </c>
    </row>
    <row r="192" spans="2:9" s="38" customFormat="1" ht="14.5" outlineLevel="1">
      <c r="B192" s="54">
        <f t="shared" si="18"/>
        <v>172</v>
      </c>
      <c r="C192" s="55">
        <f t="shared" si="19"/>
        <v>259169.13142054676</v>
      </c>
      <c r="D192" s="56">
        <f t="shared" si="15"/>
        <v>325.2758557297235</v>
      </c>
      <c r="E192" s="56">
        <f t="shared" si="16"/>
        <v>2075.036281376525</v>
      </c>
      <c r="F192" s="57">
        <f t="shared" si="20"/>
        <v>-1376.8290189617926</v>
      </c>
      <c r="G192" s="57">
        <f t="shared" si="14"/>
        <v>-2075.036281376525</v>
      </c>
      <c r="H192" s="57">
        <f>-C191*Premissas!$C$30</f>
        <v>-156.13241075026727</v>
      </c>
      <c r="I192" s="58">
        <f t="shared" si="17"/>
        <v>-3612.5077082274461</v>
      </c>
    </row>
    <row r="193" spans="2:9" s="38" customFormat="1" ht="14.5" outlineLevel="1">
      <c r="B193" s="54">
        <f t="shared" si="18"/>
        <v>173</v>
      </c>
      <c r="C193" s="55">
        <f t="shared" si="19"/>
        <v>258114.53362513869</v>
      </c>
      <c r="D193" s="56">
        <f t="shared" si="15"/>
        <v>323.96141427568347</v>
      </c>
      <c r="E193" s="56">
        <f t="shared" si="16"/>
        <v>2066.6510487844548</v>
      </c>
      <c r="F193" s="57">
        <f t="shared" si="20"/>
        <v>-1378.5592096837595</v>
      </c>
      <c r="G193" s="57">
        <f t="shared" si="14"/>
        <v>-2066.6510487844548</v>
      </c>
      <c r="H193" s="57">
        <f>-C192*Premissas!$C$30</f>
        <v>-155.50147885232803</v>
      </c>
      <c r="I193" s="58">
        <f t="shared" si="17"/>
        <v>-3605.2126269921928</v>
      </c>
    </row>
    <row r="194" spans="2:9" s="38" customFormat="1" ht="14.5" outlineLevel="1">
      <c r="B194" s="54">
        <f t="shared" si="18"/>
        <v>174</v>
      </c>
      <c r="C194" s="55">
        <f t="shared" si="19"/>
        <v>257056.88516850627</v>
      </c>
      <c r="D194" s="56">
        <f t="shared" si="15"/>
        <v>322.64316703142339</v>
      </c>
      <c r="E194" s="56">
        <f t="shared" si="16"/>
        <v>2058.2415378678584</v>
      </c>
      <c r="F194" s="57">
        <f t="shared" si="20"/>
        <v>-1380.2916236638432</v>
      </c>
      <c r="G194" s="57">
        <f t="shared" si="14"/>
        <v>-2058.2415378678584</v>
      </c>
      <c r="H194" s="57">
        <f>-C193*Premissas!$C$30</f>
        <v>-154.86872017508321</v>
      </c>
      <c r="I194" s="58">
        <f t="shared" si="17"/>
        <v>-3597.8936340589185</v>
      </c>
    </row>
    <row r="195" spans="2:9" s="38" customFormat="1" ht="14.5" outlineLevel="1">
      <c r="B195" s="54">
        <f t="shared" si="18"/>
        <v>175</v>
      </c>
      <c r="C195" s="55">
        <f t="shared" si="19"/>
        <v>255996.1800106201</v>
      </c>
      <c r="D195" s="56">
        <f t="shared" si="15"/>
        <v>321.32110646063285</v>
      </c>
      <c r="E195" s="56">
        <f t="shared" si="16"/>
        <v>2049.8077005502582</v>
      </c>
      <c r="F195" s="57">
        <f t="shared" si="20"/>
        <v>-1382.0262643468079</v>
      </c>
      <c r="G195" s="57">
        <f t="shared" si="14"/>
        <v>-2049.8077005502582</v>
      </c>
      <c r="H195" s="57">
        <f>-C194*Premissas!$C$30</f>
        <v>-154.23413110110374</v>
      </c>
      <c r="I195" s="58">
        <f t="shared" si="17"/>
        <v>-3590.5506811181672</v>
      </c>
    </row>
    <row r="196" spans="2:9" s="38" customFormat="1" ht="14.5" outlineLevel="1">
      <c r="B196" s="54">
        <f t="shared" si="18"/>
        <v>176</v>
      </c>
      <c r="C196" s="55">
        <f t="shared" si="19"/>
        <v>254932.41210044082</v>
      </c>
      <c r="D196" s="56">
        <f t="shared" si="15"/>
        <v>319.9952250132751</v>
      </c>
      <c r="E196" s="56">
        <f t="shared" si="16"/>
        <v>2041.3494886676115</v>
      </c>
      <c r="F196" s="57">
        <f t="shared" si="20"/>
        <v>-1383.7631351925411</v>
      </c>
      <c r="G196" s="57">
        <f t="shared" si="14"/>
        <v>-2041.3494886676115</v>
      </c>
      <c r="H196" s="57">
        <f>-C195*Premissas!$C$30</f>
        <v>-153.59770800637205</v>
      </c>
      <c r="I196" s="58">
        <f t="shared" si="17"/>
        <v>-3583.1837197813579</v>
      </c>
    </row>
    <row r="197" spans="2:9" s="38" customFormat="1" ht="14.5" outlineLevel="1">
      <c r="B197" s="54">
        <f t="shared" si="18"/>
        <v>177</v>
      </c>
      <c r="C197" s="55">
        <f t="shared" si="19"/>
        <v>253865.57537589007</v>
      </c>
      <c r="D197" s="56">
        <f t="shared" si="15"/>
        <v>318.66551512555105</v>
      </c>
      <c r="E197" s="56">
        <f t="shared" si="16"/>
        <v>2032.8668539680805</v>
      </c>
      <c r="F197" s="57">
        <f t="shared" si="20"/>
        <v>-1385.5022396763088</v>
      </c>
      <c r="G197" s="57">
        <f t="shared" si="14"/>
        <v>-2032.8668539680805</v>
      </c>
      <c r="H197" s="57">
        <f>-C196*Premissas!$C$30</f>
        <v>-152.95944726026448</v>
      </c>
      <c r="I197" s="58">
        <f t="shared" si="17"/>
        <v>-3575.7927015807841</v>
      </c>
    </row>
    <row r="198" spans="2:9" s="38" customFormat="1" ht="14.5" outlineLevel="1">
      <c r="B198" s="54">
        <f t="shared" si="18"/>
        <v>178</v>
      </c>
      <c r="C198" s="55">
        <f t="shared" si="19"/>
        <v>252795.66376382092</v>
      </c>
      <c r="D198" s="56">
        <f t="shared" si="15"/>
        <v>317.33196921986257</v>
      </c>
      <c r="E198" s="56">
        <f t="shared" si="16"/>
        <v>2024.3597481118009</v>
      </c>
      <c r="F198" s="57">
        <f t="shared" si="20"/>
        <v>-1387.2435812890167</v>
      </c>
      <c r="G198" s="57">
        <f t="shared" si="14"/>
        <v>-2024.3597481118009</v>
      </c>
      <c r="H198" s="57">
        <f>-C197*Premissas!$C$30</f>
        <v>-152.31934522553402</v>
      </c>
      <c r="I198" s="58">
        <f t="shared" si="17"/>
        <v>-3568.3775779696343</v>
      </c>
    </row>
    <row r="199" spans="2:9" s="38" customFormat="1" ht="14.5" outlineLevel="1">
      <c r="B199" s="54">
        <f t="shared" si="18"/>
        <v>179</v>
      </c>
      <c r="C199" s="55">
        <f t="shared" si="19"/>
        <v>251722.67117998822</v>
      </c>
      <c r="D199" s="56">
        <f t="shared" si="15"/>
        <v>315.99457970477619</v>
      </c>
      <c r="E199" s="56">
        <f t="shared" si="16"/>
        <v>2015.8281226706467</v>
      </c>
      <c r="F199" s="57">
        <f t="shared" si="20"/>
        <v>-1388.9871635374775</v>
      </c>
      <c r="G199" s="57">
        <f t="shared" si="14"/>
        <v>-2015.8281226706467</v>
      </c>
      <c r="H199" s="57">
        <f>-C198*Premissas!$C$30</f>
        <v>-151.67739825829253</v>
      </c>
      <c r="I199" s="58">
        <f t="shared" si="17"/>
        <v>-3560.938300322</v>
      </c>
    </row>
    <row r="200" spans="2:9" s="38" customFormat="1" ht="14.5" outlineLevel="1">
      <c r="B200" s="54">
        <f t="shared" si="18"/>
        <v>180</v>
      </c>
      <c r="C200" s="55">
        <f t="shared" si="19"/>
        <v>250646.59152901851</v>
      </c>
      <c r="D200" s="56">
        <f t="shared" si="15"/>
        <v>314.65333897498527</v>
      </c>
      <c r="E200" s="56">
        <f t="shared" si="16"/>
        <v>2007.2719291279925</v>
      </c>
      <c r="F200" s="57">
        <f t="shared" si="20"/>
        <v>-1390.7329899446863</v>
      </c>
      <c r="G200" s="57">
        <f t="shared" si="14"/>
        <v>-2007.2719291279925</v>
      </c>
      <c r="H200" s="57">
        <f>-C199*Premissas!$C$30</f>
        <v>-151.03360270799291</v>
      </c>
      <c r="I200" s="58">
        <f t="shared" si="17"/>
        <v>-3553.4748199328974</v>
      </c>
    </row>
    <row r="201" spans="2:9" s="38" customFormat="1" ht="14.5" outlineLevel="1">
      <c r="B201" s="54">
        <f t="shared" si="18"/>
        <v>181</v>
      </c>
      <c r="C201" s="55">
        <f t="shared" si="19"/>
        <v>249567.41870437967</v>
      </c>
      <c r="D201" s="56">
        <f t="shared" si="15"/>
        <v>313.30823941127312</v>
      </c>
      <c r="E201" s="56">
        <f t="shared" si="16"/>
        <v>1998.6911188784743</v>
      </c>
      <c r="F201" s="57">
        <f t="shared" si="20"/>
        <v>-1392.4810640501028</v>
      </c>
      <c r="G201" s="57">
        <f t="shared" si="14"/>
        <v>-1998.6911188784743</v>
      </c>
      <c r="H201" s="57">
        <f>-C200*Premissas!$C$30</f>
        <v>-150.38795491741109</v>
      </c>
      <c r="I201" s="58">
        <f t="shared" si="17"/>
        <v>-3545.9870880182957</v>
      </c>
    </row>
    <row r="202" spans="2:9" s="38" customFormat="1" ht="14.5" outlineLevel="1">
      <c r="B202" s="54">
        <f t="shared" si="18"/>
        <v>182</v>
      </c>
      <c r="C202" s="55">
        <f t="shared" si="19"/>
        <v>248485.14658835018</v>
      </c>
      <c r="D202" s="56">
        <f t="shared" si="15"/>
        <v>311.9592733804746</v>
      </c>
      <c r="E202" s="56">
        <f t="shared" si="16"/>
        <v>1990.0856432277474</v>
      </c>
      <c r="F202" s="57">
        <f t="shared" si="20"/>
        <v>-1394.2313894099423</v>
      </c>
      <c r="G202" s="57">
        <f t="shared" si="14"/>
        <v>-1990.0856432277474</v>
      </c>
      <c r="H202" s="57">
        <f>-C201*Premissas!$C$30</f>
        <v>-149.7404512226278</v>
      </c>
      <c r="I202" s="58">
        <f t="shared" si="17"/>
        <v>-3538.4750557151424</v>
      </c>
    </row>
    <row r="203" spans="2:9" s="38" customFormat="1" ht="14.5" outlineLevel="1">
      <c r="B203" s="54">
        <f t="shared" si="18"/>
        <v>183</v>
      </c>
      <c r="C203" s="55">
        <f t="shared" si="19"/>
        <v>247399.76905198814</v>
      </c>
      <c r="D203" s="56">
        <f t="shared" si="15"/>
        <v>310.60643323543775</v>
      </c>
      <c r="E203" s="56">
        <f t="shared" si="16"/>
        <v>1981.4554533922415</v>
      </c>
      <c r="F203" s="57">
        <f t="shared" si="20"/>
        <v>-1395.9839695974729</v>
      </c>
      <c r="G203" s="57">
        <f t="shared" si="14"/>
        <v>-1981.4554533922415</v>
      </c>
      <c r="H203" s="57">
        <f>-C202*Premissas!$C$30</f>
        <v>-149.09108795301009</v>
      </c>
      <c r="I203" s="58">
        <f t="shared" si="17"/>
        <v>-3530.938674081403</v>
      </c>
    </row>
    <row r="204" spans="2:9" s="38" customFormat="1" ht="14.5" outlineLevel="1">
      <c r="B204" s="54">
        <f t="shared" si="18"/>
        <v>184</v>
      </c>
      <c r="C204" s="55">
        <f t="shared" si="19"/>
        <v>246311.2799550998</v>
      </c>
      <c r="D204" s="56">
        <f t="shared" si="15"/>
        <v>309.24971131498518</v>
      </c>
      <c r="E204" s="56">
        <f t="shared" si="16"/>
        <v>1972.8005004989129</v>
      </c>
      <c r="F204" s="57">
        <f t="shared" si="20"/>
        <v>-1397.7388082033228</v>
      </c>
      <c r="G204" s="57">
        <f t="shared" si="14"/>
        <v>-1972.8005004989129</v>
      </c>
      <c r="H204" s="57">
        <f>-C203*Premissas!$C$30</f>
        <v>-148.43986143119287</v>
      </c>
      <c r="I204" s="58">
        <f t="shared" si="17"/>
        <v>-3523.3778940960956</v>
      </c>
    </row>
    <row r="205" spans="2:9" s="38" customFormat="1" ht="14.5" outlineLevel="1">
      <c r="B205" s="54">
        <f t="shared" si="18"/>
        <v>185</v>
      </c>
      <c r="C205" s="55">
        <f t="shared" si="19"/>
        <v>245219.6731462079</v>
      </c>
      <c r="D205" s="56">
        <f t="shared" si="15"/>
        <v>307.88909994387478</v>
      </c>
      <c r="E205" s="56">
        <f t="shared" si="16"/>
        <v>1964.1207355849947</v>
      </c>
      <c r="F205" s="57">
        <f t="shared" si="20"/>
        <v>-1399.4959088357944</v>
      </c>
      <c r="G205" s="57">
        <f t="shared" si="14"/>
        <v>-1964.1207355849947</v>
      </c>
      <c r="H205" s="57">
        <f>-C204*Premissas!$C$30</f>
        <v>-147.78676797305988</v>
      </c>
      <c r="I205" s="58">
        <f t="shared" si="17"/>
        <v>-3515.7926666593412</v>
      </c>
    </row>
    <row r="206" spans="2:9" s="38" customFormat="1" ht="14.5" outlineLevel="1">
      <c r="B206" s="54">
        <f t="shared" si="18"/>
        <v>186</v>
      </c>
      <c r="C206" s="55">
        <f t="shared" si="19"/>
        <v>244124.94246251948</v>
      </c>
      <c r="D206" s="56">
        <f t="shared" si="15"/>
        <v>306.52459143275991</v>
      </c>
      <c r="E206" s="56">
        <f t="shared" si="16"/>
        <v>1955.4161095977431</v>
      </c>
      <c r="F206" s="57">
        <f t="shared" si="20"/>
        <v>-1401.2552751211881</v>
      </c>
      <c r="G206" s="57">
        <f t="shared" si="14"/>
        <v>-1955.4161095977431</v>
      </c>
      <c r="H206" s="57">
        <f>-C205*Premissas!$C$30</f>
        <v>-147.13180388772474</v>
      </c>
      <c r="I206" s="58">
        <f t="shared" si="17"/>
        <v>-3508.1829425924143</v>
      </c>
    </row>
    <row r="207" spans="2:9" s="38" customFormat="1" ht="14.5" outlineLevel="1">
      <c r="B207" s="54">
        <f t="shared" si="18"/>
        <v>187</v>
      </c>
      <c r="C207" s="55">
        <f t="shared" si="19"/>
        <v>243027.08172989349</v>
      </c>
      <c r="D207" s="56">
        <f t="shared" si="15"/>
        <v>305.15617807814937</v>
      </c>
      <c r="E207" s="56">
        <f t="shared" si="16"/>
        <v>1946.6865733941818</v>
      </c>
      <c r="F207" s="57">
        <f t="shared" si="20"/>
        <v>-1403.0169107041349</v>
      </c>
      <c r="G207" s="57">
        <f t="shared" si="14"/>
        <v>-1946.6865733941818</v>
      </c>
      <c r="H207" s="57">
        <f>-C206*Premissas!$C$30</f>
        <v>-146.47496547751169</v>
      </c>
      <c r="I207" s="58">
        <f t="shared" si="17"/>
        <v>-3500.5486726377985</v>
      </c>
    </row>
    <row r="208" spans="2:9" s="38" customFormat="1" ht="14.5" outlineLevel="1">
      <c r="B208" s="54">
        <f t="shared" si="18"/>
        <v>188</v>
      </c>
      <c r="C208" s="55">
        <f t="shared" si="19"/>
        <v>241926.08476280791</v>
      </c>
      <c r="D208" s="56">
        <f t="shared" si="15"/>
        <v>303.78385216236688</v>
      </c>
      <c r="E208" s="56">
        <f t="shared" si="16"/>
        <v>1937.9320777408429</v>
      </c>
      <c r="F208" s="57">
        <f t="shared" si="20"/>
        <v>-1404.7808192479392</v>
      </c>
      <c r="G208" s="57">
        <f t="shared" si="14"/>
        <v>-1937.9320777408429</v>
      </c>
      <c r="H208" s="57">
        <f>-C207*Premissas!$C$30</f>
        <v>-145.81624903793607</v>
      </c>
      <c r="I208" s="58">
        <f t="shared" si="17"/>
        <v>-3492.8898074592512</v>
      </c>
    </row>
    <row r="209" spans="2:9" s="38" customFormat="1" ht="14.5" outlineLevel="1">
      <c r="B209" s="54">
        <f t="shared" si="18"/>
        <v>189</v>
      </c>
      <c r="C209" s="55">
        <f t="shared" si="19"/>
        <v>240821.9453643265</v>
      </c>
      <c r="D209" s="56">
        <f t="shared" si="15"/>
        <v>302.40760595350991</v>
      </c>
      <c r="E209" s="56">
        <f t="shared" si="16"/>
        <v>1929.1525733135054</v>
      </c>
      <c r="F209" s="57">
        <f t="shared" si="20"/>
        <v>-1406.5470044349297</v>
      </c>
      <c r="G209" s="57">
        <f t="shared" si="14"/>
        <v>-1929.1525733135054</v>
      </c>
      <c r="H209" s="57">
        <f>-C208*Premissas!$C$30</f>
        <v>-145.15565085768472</v>
      </c>
      <c r="I209" s="58">
        <f t="shared" si="17"/>
        <v>-3485.2062976418774</v>
      </c>
    </row>
    <row r="210" spans="2:9" s="38" customFormat="1" ht="14.5" outlineLevel="1">
      <c r="B210" s="54">
        <f t="shared" si="18"/>
        <v>190</v>
      </c>
      <c r="C210" s="55">
        <f t="shared" si="19"/>
        <v>239714.65732606509</v>
      </c>
      <c r="D210" s="56">
        <f t="shared" si="15"/>
        <v>301.02743170540811</v>
      </c>
      <c r="E210" s="56">
        <f t="shared" si="16"/>
        <v>1920.3480106969294</v>
      </c>
      <c r="F210" s="57">
        <f t="shared" si="20"/>
        <v>-1408.3154699668216</v>
      </c>
      <c r="G210" s="57">
        <f t="shared" si="14"/>
        <v>-1920.3480106969294</v>
      </c>
      <c r="H210" s="57">
        <f>-C209*Premissas!$C$30</f>
        <v>-144.49316721859589</v>
      </c>
      <c r="I210" s="58">
        <f t="shared" si="17"/>
        <v>-3477.4980936921997</v>
      </c>
    </row>
    <row r="211" spans="2:9" s="38" customFormat="1" ht="14.5" outlineLevel="1">
      <c r="B211" s="54">
        <f t="shared" si="18"/>
        <v>191</v>
      </c>
      <c r="C211" s="55">
        <f t="shared" si="19"/>
        <v>238604.21442815757</v>
      </c>
      <c r="D211" s="56">
        <f t="shared" si="15"/>
        <v>299.6433216575814</v>
      </c>
      <c r="E211" s="56">
        <f t="shared" si="16"/>
        <v>1911.5183403845876</v>
      </c>
      <c r="F211" s="57">
        <f t="shared" si="20"/>
        <v>-1410.0862195650889</v>
      </c>
      <c r="G211" s="57">
        <f t="shared" si="14"/>
        <v>-1911.5183403845876</v>
      </c>
      <c r="H211" s="57">
        <f>-C210*Premissas!$C$30</f>
        <v>-143.82879439563905</v>
      </c>
      <c r="I211" s="58">
        <f t="shared" si="17"/>
        <v>-3469.7651460382467</v>
      </c>
    </row>
    <row r="212" spans="2:9" s="38" customFormat="1" ht="14.5" outlineLevel="1">
      <c r="B212" s="54">
        <f t="shared" si="18"/>
        <v>192</v>
      </c>
      <c r="C212" s="55">
        <f t="shared" si="19"/>
        <v>237490.61043922143</v>
      </c>
      <c r="D212" s="56">
        <f t="shared" si="15"/>
        <v>298.25526803519699</v>
      </c>
      <c r="E212" s="56">
        <f t="shared" si="16"/>
        <v>1902.6635127783941</v>
      </c>
      <c r="F212" s="57">
        <f t="shared" si="20"/>
        <v>-1411.8592569713467</v>
      </c>
      <c r="G212" s="57">
        <f t="shared" si="14"/>
        <v>-1902.6635127783941</v>
      </c>
      <c r="H212" s="57">
        <f>-C211*Premissas!$C$30</f>
        <v>-143.16252865689452</v>
      </c>
      <c r="I212" s="58">
        <f t="shared" si="17"/>
        <v>-3462.0074050296435</v>
      </c>
    </row>
    <row r="213" spans="2:9" s="38" customFormat="1" ht="14.5" outlineLevel="1">
      <c r="B213" s="54">
        <f t="shared" si="18"/>
        <v>193</v>
      </c>
      <c r="C213" s="55">
        <f t="shared" si="19"/>
        <v>236373.83911632269</v>
      </c>
      <c r="D213" s="56">
        <f t="shared" si="15"/>
        <v>296.86326304902678</v>
      </c>
      <c r="E213" s="56">
        <f t="shared" si="16"/>
        <v>1893.7834781884301</v>
      </c>
      <c r="F213" s="57">
        <f t="shared" si="20"/>
        <v>-1413.6345859477467</v>
      </c>
      <c r="G213" s="57">
        <f t="shared" ref="G213:G276" si="21">-E213</f>
        <v>-1893.7834781884301</v>
      </c>
      <c r="H213" s="57">
        <f>-C212*Premissas!$C$30</f>
        <v>-142.49436626353284</v>
      </c>
      <c r="I213" s="58">
        <f t="shared" si="17"/>
        <v>-3454.224820937709</v>
      </c>
    </row>
    <row r="214" spans="2:9" s="38" customFormat="1" ht="14.5" outlineLevel="1">
      <c r="B214" s="54">
        <f t="shared" si="18"/>
        <v>194</v>
      </c>
      <c r="C214" s="55">
        <f t="shared" si="19"/>
        <v>235253.89420494073</v>
      </c>
      <c r="D214" s="56">
        <f t="shared" ref="D214:D277" si="22">C213*(TR/12)</f>
        <v>295.46729889540336</v>
      </c>
      <c r="E214" s="56">
        <f t="shared" ref="E214:E277" si="23">C213*$C$9</f>
        <v>1884.8781868326628</v>
      </c>
      <c r="F214" s="57">
        <f t="shared" si="20"/>
        <v>-1415.4122102773813</v>
      </c>
      <c r="G214" s="57">
        <f t="shared" si="21"/>
        <v>-1884.8781868326628</v>
      </c>
      <c r="H214" s="57">
        <f>-C213*Premissas!$C$30</f>
        <v>-141.82430346979359</v>
      </c>
      <c r="I214" s="58">
        <f t="shared" ref="I214:I277" si="24">SUM(F214:H214)*(1+TR/12)</f>
        <v>-3446.417343955562</v>
      </c>
    </row>
    <row r="215" spans="2:9" s="38" customFormat="1" ht="14.5" outlineLevel="1">
      <c r="B215" s="54">
        <f t="shared" ref="B215:B278" si="25">B214+1</f>
        <v>195</v>
      </c>
      <c r="C215" s="55">
        <f t="shared" ref="C215:C278" si="26">C214+F215+D215</f>
        <v>234130.76943893221</v>
      </c>
      <c r="D215" s="56">
        <f t="shared" si="22"/>
        <v>294.06736775617594</v>
      </c>
      <c r="E215" s="56">
        <f t="shared" si="23"/>
        <v>1875.9475888366669</v>
      </c>
      <c r="F215" s="57">
        <f t="shared" ref="F215:F278" si="27">IFERROR(-C214/($C$5-B214),"n/a")</f>
        <v>-1417.1921337647032</v>
      </c>
      <c r="G215" s="57">
        <f t="shared" si="21"/>
        <v>-1875.9475888366669</v>
      </c>
      <c r="H215" s="57">
        <f>-C214*Premissas!$C$30</f>
        <v>-141.15233652296442</v>
      </c>
      <c r="I215" s="58">
        <f t="shared" si="24"/>
        <v>-3438.5849241982401</v>
      </c>
    </row>
    <row r="216" spans="2:9" s="38" customFormat="1" ht="14.5" outlineLevel="1">
      <c r="B216" s="54">
        <f t="shared" si="25"/>
        <v>196</v>
      </c>
      <c r="C216" s="55">
        <f t="shared" si="26"/>
        <v>233004.4585404949</v>
      </c>
      <c r="D216" s="56">
        <f t="shared" si="22"/>
        <v>292.66346179866525</v>
      </c>
      <c r="E216" s="56">
        <f t="shared" si="23"/>
        <v>1866.9916342333352</v>
      </c>
      <c r="F216" s="57">
        <f t="shared" si="27"/>
        <v>-1418.9743602359529</v>
      </c>
      <c r="G216" s="57">
        <f t="shared" si="21"/>
        <v>-1866.9916342333352</v>
      </c>
      <c r="H216" s="57">
        <f>-C215*Premissas!$C$30</f>
        <v>-140.47846166335933</v>
      </c>
      <c r="I216" s="58">
        <f t="shared" si="24"/>
        <v>-3430.727511702813</v>
      </c>
    </row>
    <row r="217" spans="2:9" s="38" customFormat="1" ht="14.5" outlineLevel="1">
      <c r="B217" s="54">
        <f t="shared" si="25"/>
        <v>197</v>
      </c>
      <c r="C217" s="55">
        <f t="shared" si="26"/>
        <v>231874.95522013091</v>
      </c>
      <c r="D217" s="56">
        <f t="shared" si="22"/>
        <v>291.25557317561862</v>
      </c>
      <c r="E217" s="56">
        <f t="shared" si="23"/>
        <v>1858.0102729625914</v>
      </c>
      <c r="F217" s="57">
        <f t="shared" si="27"/>
        <v>-1420.7588935396032</v>
      </c>
      <c r="G217" s="57">
        <f t="shared" si="21"/>
        <v>-1858.0102729625914</v>
      </c>
      <c r="H217" s="57">
        <f>-C216*Premissas!$C$30</f>
        <v>-139.80267512429694</v>
      </c>
      <c r="I217" s="58">
        <f t="shared" si="24"/>
        <v>-3422.8450564285249</v>
      </c>
    </row>
    <row r="218" spans="2:9" s="38" customFormat="1" ht="14.5" outlineLevel="1">
      <c r="B218" s="54">
        <f t="shared" si="25"/>
        <v>198</v>
      </c>
      <c r="C218" s="55">
        <f t="shared" si="26"/>
        <v>230742.25317660926</v>
      </c>
      <c r="D218" s="56">
        <f t="shared" si="22"/>
        <v>289.84369402516364</v>
      </c>
      <c r="E218" s="56">
        <f t="shared" si="23"/>
        <v>1849.0034548710958</v>
      </c>
      <c r="F218" s="57">
        <f t="shared" si="27"/>
        <v>-1422.5457375468154</v>
      </c>
      <c r="G218" s="57">
        <f t="shared" si="21"/>
        <v>-1849.0034548710958</v>
      </c>
      <c r="H218" s="57">
        <f>-C217*Premissas!$C$30</f>
        <v>-139.12497313207854</v>
      </c>
      <c r="I218" s="58">
        <f t="shared" si="24"/>
        <v>-3414.9375082569272</v>
      </c>
    </row>
    <row r="219" spans="2:9" s="38" customFormat="1" ht="14.5" outlineLevel="1">
      <c r="B219" s="54">
        <f t="shared" si="25"/>
        <v>199</v>
      </c>
      <c r="C219" s="55">
        <f t="shared" si="26"/>
        <v>229606.34609692812</v>
      </c>
      <c r="D219" s="56">
        <f t="shared" si="22"/>
        <v>288.42781647076157</v>
      </c>
      <c r="E219" s="56">
        <f t="shared" si="23"/>
        <v>1839.9711297119479</v>
      </c>
      <c r="F219" s="57">
        <f t="shared" si="27"/>
        <v>-1424.3348961519091</v>
      </c>
      <c r="G219" s="57">
        <f t="shared" si="21"/>
        <v>-1839.9711297119479</v>
      </c>
      <c r="H219" s="57">
        <f>-C218*Premissas!$C$30</f>
        <v>-138.44535190596554</v>
      </c>
      <c r="I219" s="58">
        <f t="shared" si="24"/>
        <v>-3407.0048169920351</v>
      </c>
    </row>
    <row r="220" spans="2:9" s="38" customFormat="1" ht="14.5" outlineLevel="1">
      <c r="B220" s="54">
        <f t="shared" si="25"/>
        <v>200</v>
      </c>
      <c r="C220" s="55">
        <f t="shared" si="26"/>
        <v>228467.22765627643</v>
      </c>
      <c r="D220" s="56">
        <f t="shared" si="22"/>
        <v>287.00793262116014</v>
      </c>
      <c r="E220" s="56">
        <f t="shared" si="23"/>
        <v>1830.9132471443845</v>
      </c>
      <c r="F220" s="57">
        <f t="shared" si="27"/>
        <v>-1426.1263732728455</v>
      </c>
      <c r="G220" s="57">
        <f t="shared" si="21"/>
        <v>-1830.9132471443845</v>
      </c>
      <c r="H220" s="57">
        <f>-C219*Premissas!$C$30</f>
        <v>-137.76380765815685</v>
      </c>
      <c r="I220" s="58">
        <f t="shared" si="24"/>
        <v>-3399.0469323604816</v>
      </c>
    </row>
    <row r="221" spans="2:9" s="38" customFormat="1" ht="14.5" outlineLevel="1">
      <c r="B221" s="54">
        <f t="shared" si="25"/>
        <v>201</v>
      </c>
      <c r="C221" s="55">
        <f t="shared" si="26"/>
        <v>227324.89151799504</v>
      </c>
      <c r="D221" s="56">
        <f t="shared" si="22"/>
        <v>285.58403457034552</v>
      </c>
      <c r="E221" s="56">
        <f t="shared" si="23"/>
        <v>1821.8297567334741</v>
      </c>
      <c r="F221" s="57">
        <f t="shared" si="27"/>
        <v>-1427.9201728517278</v>
      </c>
      <c r="G221" s="57">
        <f t="shared" si="21"/>
        <v>-1821.8297567334741</v>
      </c>
      <c r="H221" s="57">
        <f>-C220*Premissas!$C$30</f>
        <v>-137.08033659376585</v>
      </c>
      <c r="I221" s="58">
        <f t="shared" si="24"/>
        <v>-3391.0638040116914</v>
      </c>
    </row>
    <row r="222" spans="2:9" s="38" customFormat="1" ht="14.5" outlineLevel="1">
      <c r="B222" s="54">
        <f t="shared" si="25"/>
        <v>202</v>
      </c>
      <c r="C222" s="55">
        <f t="shared" si="26"/>
        <v>226179.33133353721</v>
      </c>
      <c r="D222" s="56">
        <f t="shared" si="22"/>
        <v>284.15611439749381</v>
      </c>
      <c r="E222" s="56">
        <f t="shared" si="23"/>
        <v>1812.7206079498067</v>
      </c>
      <c r="F222" s="57">
        <f t="shared" si="27"/>
        <v>-1429.7162988553148</v>
      </c>
      <c r="G222" s="57">
        <f t="shared" si="21"/>
        <v>-1812.7206079498067</v>
      </c>
      <c r="H222" s="57">
        <f>-C221*Premissas!$C$30</f>
        <v>-136.39493491079702</v>
      </c>
      <c r="I222" s="58">
        <f t="shared" si="24"/>
        <v>-3383.0553815180633</v>
      </c>
    </row>
    <row r="223" spans="2:9" s="38" customFormat="1" ht="14.5" outlineLevel="1">
      <c r="B223" s="54">
        <f t="shared" si="25"/>
        <v>203</v>
      </c>
      <c r="C223" s="55">
        <f t="shared" si="26"/>
        <v>225030.54074242857</v>
      </c>
      <c r="D223" s="56">
        <f t="shared" si="22"/>
        <v>282.72416416692153</v>
      </c>
      <c r="E223" s="56">
        <f t="shared" si="23"/>
        <v>1803.5857501691789</v>
      </c>
      <c r="F223" s="57">
        <f t="shared" si="27"/>
        <v>-1431.514755275552</v>
      </c>
      <c r="G223" s="57">
        <f t="shared" si="21"/>
        <v>-1803.5857501691789</v>
      </c>
      <c r="H223" s="57">
        <f>-C222*Premissas!$C$30</f>
        <v>-135.70759880012233</v>
      </c>
      <c r="I223" s="58">
        <f t="shared" si="24"/>
        <v>-3375.0216143751595</v>
      </c>
    </row>
    <row r="224" spans="2:9" s="38" customFormat="1" ht="14.5" outlineLevel="1">
      <c r="B224" s="54">
        <f t="shared" si="25"/>
        <v>204</v>
      </c>
      <c r="C224" s="55">
        <f t="shared" si="26"/>
        <v>223878.51337222647</v>
      </c>
      <c r="D224" s="56">
        <f t="shared" si="22"/>
        <v>281.28817592803574</v>
      </c>
      <c r="E224" s="56">
        <f t="shared" si="23"/>
        <v>1794.4251326722754</v>
      </c>
      <c r="F224" s="57">
        <f t="shared" si="27"/>
        <v>-1433.3155461301183</v>
      </c>
      <c r="G224" s="57">
        <f t="shared" si="21"/>
        <v>-1794.4251326722754</v>
      </c>
      <c r="H224" s="57">
        <f>-C223*Premissas!$C$30</f>
        <v>-135.01832444545713</v>
      </c>
      <c r="I224" s="58">
        <f t="shared" si="24"/>
        <v>-3366.9624520019102</v>
      </c>
    </row>
    <row r="225" spans="2:9" s="38" customFormat="1" ht="14.5" outlineLevel="1">
      <c r="B225" s="54">
        <f t="shared" si="25"/>
        <v>205</v>
      </c>
      <c r="C225" s="55">
        <f t="shared" si="26"/>
        <v>222723.24283847876</v>
      </c>
      <c r="D225" s="56">
        <f t="shared" si="22"/>
        <v>279.84814171528308</v>
      </c>
      <c r="E225" s="56">
        <f t="shared" si="23"/>
        <v>1785.2387046443432</v>
      </c>
      <c r="F225" s="57">
        <f t="shared" si="27"/>
        <v>-1435.1186754629903</v>
      </c>
      <c r="G225" s="57">
        <f t="shared" si="21"/>
        <v>-1785.2387046443432</v>
      </c>
      <c r="H225" s="57">
        <f>-C224*Premissas!$C$30</f>
        <v>-134.32710802333588</v>
      </c>
      <c r="I225" s="58">
        <f t="shared" si="24"/>
        <v>-3358.8778437408323</v>
      </c>
    </row>
    <row r="226" spans="2:9" s="38" customFormat="1" ht="14.5" outlineLevel="1">
      <c r="B226" s="54">
        <f t="shared" si="25"/>
        <v>206</v>
      </c>
      <c r="C226" s="55">
        <f t="shared" si="26"/>
        <v>221564.72274468181</v>
      </c>
      <c r="D226" s="56">
        <f t="shared" si="22"/>
        <v>278.40405354809849</v>
      </c>
      <c r="E226" s="56">
        <f t="shared" si="23"/>
        <v>1776.0264151748643</v>
      </c>
      <c r="F226" s="57">
        <f t="shared" si="27"/>
        <v>-1436.9241473450243</v>
      </c>
      <c r="G226" s="57">
        <f t="shared" si="21"/>
        <v>-1776.0264151748643</v>
      </c>
      <c r="H226" s="57">
        <f>-C225*Premissas!$C$30</f>
        <v>-133.63394570308725</v>
      </c>
      <c r="I226" s="58">
        <f t="shared" si="24"/>
        <v>-3350.7677388582542</v>
      </c>
    </row>
    <row r="227" spans="2:9" s="38" customFormat="1" ht="14.5" outlineLevel="1">
      <c r="B227" s="54">
        <f t="shared" si="25"/>
        <v>207</v>
      </c>
      <c r="C227" s="55">
        <f t="shared" si="26"/>
        <v>220402.94668223811</v>
      </c>
      <c r="D227" s="56">
        <f t="shared" si="22"/>
        <v>276.95590343085229</v>
      </c>
      <c r="E227" s="56">
        <f t="shared" si="23"/>
        <v>1766.7882132572206</v>
      </c>
      <c r="F227" s="57">
        <f t="shared" si="27"/>
        <v>-1438.7319658745573</v>
      </c>
      <c r="G227" s="57">
        <f t="shared" si="21"/>
        <v>-1766.7882132572206</v>
      </c>
      <c r="H227" s="57">
        <f>-C226*Premissas!$C$30</f>
        <v>-132.93883364680909</v>
      </c>
      <c r="I227" s="58">
        <f t="shared" si="24"/>
        <v>-3342.63208654456</v>
      </c>
    </row>
    <row r="228" spans="2:9" s="38" customFormat="1" ht="14.5" outlineLevel="1">
      <c r="B228" s="54">
        <f t="shared" si="25"/>
        <v>208</v>
      </c>
      <c r="C228" s="55">
        <f t="shared" si="26"/>
        <v>219237.90823041287</v>
      </c>
      <c r="D228" s="56">
        <f t="shared" si="22"/>
        <v>275.50368335279762</v>
      </c>
      <c r="E228" s="56">
        <f t="shared" si="23"/>
        <v>1757.5240477883556</v>
      </c>
      <c r="F228" s="57">
        <f t="shared" si="27"/>
        <v>-1440.5421351780269</v>
      </c>
      <c r="G228" s="57">
        <f t="shared" si="21"/>
        <v>-1757.5240477883556</v>
      </c>
      <c r="H228" s="57">
        <f>-C227*Premissas!$C$30</f>
        <v>-132.24176800934285</v>
      </c>
      <c r="I228" s="58">
        <f t="shared" si="24"/>
        <v>-3334.4708359144443</v>
      </c>
    </row>
    <row r="229" spans="2:9" s="38" customFormat="1" ht="14.5" outlineLevel="1">
      <c r="B229" s="54">
        <f t="shared" si="25"/>
        <v>209</v>
      </c>
      <c r="C229" s="55">
        <f t="shared" si="26"/>
        <v>218069.60095629029</v>
      </c>
      <c r="D229" s="56">
        <f t="shared" si="22"/>
        <v>274.04738528801607</v>
      </c>
      <c r="E229" s="56">
        <f t="shared" si="23"/>
        <v>1748.2338675684286</v>
      </c>
      <c r="F229" s="57">
        <f t="shared" si="27"/>
        <v>-1442.354659410611</v>
      </c>
      <c r="G229" s="57">
        <f t="shared" si="21"/>
        <v>-1748.2338675684286</v>
      </c>
      <c r="H229" s="57">
        <f>-C228*Premissas!$C$30</f>
        <v>-131.54274493824772</v>
      </c>
      <c r="I229" s="58">
        <f t="shared" si="24"/>
        <v>-3326.2839360071839</v>
      </c>
    </row>
    <row r="230" spans="2:9" s="38" customFormat="1" ht="14.5" outlineLevel="1">
      <c r="B230" s="54">
        <f t="shared" si="25"/>
        <v>210</v>
      </c>
      <c r="C230" s="55">
        <f t="shared" si="26"/>
        <v>216898.01841472875</v>
      </c>
      <c r="D230" s="56">
        <f t="shared" si="22"/>
        <v>272.58700119536286</v>
      </c>
      <c r="E230" s="56">
        <f t="shared" si="23"/>
        <v>1738.9176213004655</v>
      </c>
      <c r="F230" s="57">
        <f t="shared" si="27"/>
        <v>-1444.1695427568893</v>
      </c>
      <c r="G230" s="57">
        <f t="shared" si="21"/>
        <v>-1738.9176213004655</v>
      </c>
      <c r="H230" s="57">
        <f>-C229*Premissas!$C$30</f>
        <v>-130.84176057377417</v>
      </c>
      <c r="I230" s="58">
        <f t="shared" si="24"/>
        <v>-3318.0713357869181</v>
      </c>
    </row>
    <row r="231" spans="2:9" s="38" customFormat="1" ht="14.5" outlineLevel="1">
      <c r="B231" s="54">
        <f t="shared" si="25"/>
        <v>211</v>
      </c>
      <c r="C231" s="55">
        <f t="shared" si="26"/>
        <v>215723.15414831563</v>
      </c>
      <c r="D231" s="56">
        <f t="shared" si="22"/>
        <v>271.12252301841096</v>
      </c>
      <c r="E231" s="56">
        <f t="shared" si="23"/>
        <v>1729.5752575900017</v>
      </c>
      <c r="F231" s="57">
        <f t="shared" si="27"/>
        <v>-1445.986789431525</v>
      </c>
      <c r="G231" s="57">
        <f t="shared" si="21"/>
        <v>-1729.5752575900017</v>
      </c>
      <c r="H231" s="57">
        <f>-C230*Premissas!$C$30</f>
        <v>-130.13881104883723</v>
      </c>
      <c r="I231" s="58">
        <f t="shared" si="24"/>
        <v>-3309.8329841429518</v>
      </c>
    </row>
    <row r="232" spans="2:9" s="38" customFormat="1" ht="14.5" outlineLevel="1">
      <c r="B232" s="54">
        <f t="shared" si="25"/>
        <v>212</v>
      </c>
      <c r="C232" s="55">
        <f t="shared" si="26"/>
        <v>214545.00168732106</v>
      </c>
      <c r="D232" s="56">
        <f t="shared" si="22"/>
        <v>269.65394268539455</v>
      </c>
      <c r="E232" s="56">
        <f t="shared" si="23"/>
        <v>1720.2067249447225</v>
      </c>
      <c r="F232" s="57">
        <f t="shared" si="27"/>
        <v>-1447.8064036799708</v>
      </c>
      <c r="G232" s="57">
        <f t="shared" si="21"/>
        <v>-1720.2067249447225</v>
      </c>
      <c r="H232" s="57">
        <f>-C231*Premissas!$C$30</f>
        <v>-129.43389248898936</v>
      </c>
      <c r="I232" s="58">
        <f t="shared" si="24"/>
        <v>-3301.5688298900745</v>
      </c>
    </row>
    <row r="233" spans="2:9" s="38" customFormat="1" ht="14.5" outlineLevel="1">
      <c r="B233" s="54">
        <f t="shared" si="25"/>
        <v>213</v>
      </c>
      <c r="C233" s="55">
        <f t="shared" si="26"/>
        <v>213363.55454965102</v>
      </c>
      <c r="D233" s="56">
        <f t="shared" si="22"/>
        <v>268.18125210915133</v>
      </c>
      <c r="E233" s="56">
        <f t="shared" si="23"/>
        <v>1710.8119717740931</v>
      </c>
      <c r="F233" s="57">
        <f t="shared" si="27"/>
        <v>-1449.6283897791964</v>
      </c>
      <c r="G233" s="57">
        <f t="shared" si="21"/>
        <v>-1710.8119717740931</v>
      </c>
      <c r="H233" s="57">
        <f>-C232*Premissas!$C$30</f>
        <v>-128.72700101239263</v>
      </c>
      <c r="I233" s="58">
        <f t="shared" si="24"/>
        <v>-3293.278821768889</v>
      </c>
    </row>
    <row r="234" spans="2:9" s="38" customFormat="1" ht="14.5" outlineLevel="1">
      <c r="B234" s="54">
        <f t="shared" si="25"/>
        <v>214</v>
      </c>
      <c r="C234" s="55">
        <f t="shared" si="26"/>
        <v>212178.80624079966</v>
      </c>
      <c r="D234" s="56">
        <f t="shared" si="22"/>
        <v>266.70444318706376</v>
      </c>
      <c r="E234" s="56">
        <f t="shared" si="23"/>
        <v>1701.3909463889859</v>
      </c>
      <c r="F234" s="57">
        <f t="shared" si="27"/>
        <v>-1451.4527520384422</v>
      </c>
      <c r="G234" s="57">
        <f t="shared" si="21"/>
        <v>-1701.3909463889859</v>
      </c>
      <c r="H234" s="57">
        <f>-C233*Premissas!$C$30</f>
        <v>-128.01813272979061</v>
      </c>
      <c r="I234" s="58">
        <f t="shared" si="24"/>
        <v>-3284.9629084461649</v>
      </c>
    </row>
    <row r="235" spans="2:9" s="38" customFormat="1" ht="14.5" outlineLevel="1">
      <c r="B235" s="54">
        <f t="shared" si="25"/>
        <v>215</v>
      </c>
      <c r="C235" s="55">
        <f t="shared" si="26"/>
        <v>210990.75025380068</v>
      </c>
      <c r="D235" s="56">
        <f t="shared" si="22"/>
        <v>265.22350780099958</v>
      </c>
      <c r="E235" s="56">
        <f t="shared" si="23"/>
        <v>1691.9435970012989</v>
      </c>
      <c r="F235" s="57">
        <f t="shared" si="27"/>
        <v>-1453.2794947999978</v>
      </c>
      <c r="G235" s="57">
        <f t="shared" si="21"/>
        <v>-1691.9435970012989</v>
      </c>
      <c r="H235" s="57">
        <f>-C234*Premissas!$C$30</f>
        <v>-127.30728374447979</v>
      </c>
      <c r="I235" s="58">
        <f t="shared" si="24"/>
        <v>-3276.6210385152085</v>
      </c>
    </row>
    <row r="236" spans="2:9" s="38" customFormat="1" ht="14.5" outlineLevel="1">
      <c r="B236" s="54">
        <f t="shared" si="25"/>
        <v>216</v>
      </c>
      <c r="C236" s="55">
        <f t="shared" si="26"/>
        <v>209799.38006917795</v>
      </c>
      <c r="D236" s="56">
        <f t="shared" si="22"/>
        <v>263.73843781725088</v>
      </c>
      <c r="E236" s="56">
        <f t="shared" si="23"/>
        <v>1682.4698717235692</v>
      </c>
      <c r="F236" s="57">
        <f t="shared" si="27"/>
        <v>-1455.1086224400046</v>
      </c>
      <c r="G236" s="57">
        <f t="shared" si="21"/>
        <v>-1682.4698717235692</v>
      </c>
      <c r="H236" s="57">
        <f>-C235*Premissas!$C$30</f>
        <v>-126.5944501522804</v>
      </c>
      <c r="I236" s="58">
        <f t="shared" si="24"/>
        <v>-3268.2531604962492</v>
      </c>
    </row>
    <row r="237" spans="2:9" s="38" customFormat="1" ht="14.5" outlineLevel="1">
      <c r="B237" s="54">
        <f t="shared" si="25"/>
        <v>217</v>
      </c>
      <c r="C237" s="55">
        <f t="shared" si="26"/>
        <v>208604.68915489514</v>
      </c>
      <c r="D237" s="56">
        <f t="shared" si="22"/>
        <v>262.24922508647245</v>
      </c>
      <c r="E237" s="56">
        <f t="shared" si="23"/>
        <v>1672.9697185685784</v>
      </c>
      <c r="F237" s="57">
        <f t="shared" si="27"/>
        <v>-1456.9401393692913</v>
      </c>
      <c r="G237" s="57">
        <f t="shared" si="21"/>
        <v>-1672.9697185685784</v>
      </c>
      <c r="H237" s="57">
        <f>-C236*Premissas!$C$30</f>
        <v>-125.87962804150676</v>
      </c>
      <c r="I237" s="58">
        <f t="shared" si="24"/>
        <v>-3259.8592228368507</v>
      </c>
    </row>
    <row r="238" spans="2:9" s="38" customFormat="1" ht="14.5" outlineLevel="1">
      <c r="B238" s="54">
        <f t="shared" si="25"/>
        <v>218</v>
      </c>
      <c r="C238" s="55">
        <f t="shared" si="26"/>
        <v>207406.67096630452</v>
      </c>
      <c r="D238" s="56">
        <f t="shared" si="22"/>
        <v>260.75586144361893</v>
      </c>
      <c r="E238" s="56">
        <f t="shared" si="23"/>
        <v>1663.4430854489519</v>
      </c>
      <c r="F238" s="57">
        <f t="shared" si="27"/>
        <v>-1458.7740500342318</v>
      </c>
      <c r="G238" s="57">
        <f t="shared" si="21"/>
        <v>-1663.4430854489519</v>
      </c>
      <c r="H238" s="57">
        <f>-C237*Premissas!$C$30</f>
        <v>-125.16281349293708</v>
      </c>
      <c r="I238" s="58">
        <f t="shared" si="24"/>
        <v>-3251.4391739123407</v>
      </c>
    </row>
    <row r="239" spans="2:9" s="38" customFormat="1" ht="14.5" outlineLevel="1">
      <c r="B239" s="54">
        <f t="shared" si="25"/>
        <v>219</v>
      </c>
      <c r="C239" s="55">
        <f t="shared" si="26"/>
        <v>206205.31894609475</v>
      </c>
      <c r="D239" s="56">
        <f t="shared" si="22"/>
        <v>259.25833870788063</v>
      </c>
      <c r="E239" s="56">
        <f t="shared" si="23"/>
        <v>1653.8899201767495</v>
      </c>
      <c r="F239" s="57">
        <f t="shared" si="27"/>
        <v>-1460.6103589176375</v>
      </c>
      <c r="G239" s="57">
        <f t="shared" si="21"/>
        <v>-1653.8899201767495</v>
      </c>
      <c r="H239" s="57">
        <f>-C238*Premissas!$C$30</f>
        <v>-124.4440025797827</v>
      </c>
      <c r="I239" s="58">
        <f t="shared" si="24"/>
        <v>-3242.9929620262624</v>
      </c>
    </row>
    <row r="240" spans="2:9" s="38" customFormat="1" ht="14.5" outlineLevel="1">
      <c r="B240" s="54">
        <f t="shared" si="25"/>
        <v>220</v>
      </c>
      <c r="C240" s="55">
        <f t="shared" si="26"/>
        <v>205000.62652423768</v>
      </c>
      <c r="D240" s="56">
        <f t="shared" si="22"/>
        <v>257.75664868261845</v>
      </c>
      <c r="E240" s="56">
        <f t="shared" si="23"/>
        <v>1644.3101704630494</v>
      </c>
      <c r="F240" s="57">
        <f t="shared" si="27"/>
        <v>-1462.449070539679</v>
      </c>
      <c r="G240" s="57">
        <f t="shared" si="21"/>
        <v>-1644.3101704630494</v>
      </c>
      <c r="H240" s="57">
        <f>-C239*Premissas!$C$30</f>
        <v>-123.72319136765684</v>
      </c>
      <c r="I240" s="58">
        <f t="shared" si="24"/>
        <v>-3234.520535410848</v>
      </c>
    </row>
    <row r="241" spans="2:9" s="38" customFormat="1" ht="14.5" outlineLevel="1">
      <c r="B241" s="54">
        <f t="shared" si="25"/>
        <v>221</v>
      </c>
      <c r="C241" s="55">
        <f t="shared" si="26"/>
        <v>203792.58711793413</v>
      </c>
      <c r="D241" s="56">
        <f t="shared" si="22"/>
        <v>256.25078315529709</v>
      </c>
      <c r="E241" s="56">
        <f t="shared" si="23"/>
        <v>1634.703783917525</v>
      </c>
      <c r="F241" s="57">
        <f t="shared" si="27"/>
        <v>-1464.2901894588406</v>
      </c>
      <c r="G241" s="57">
        <f t="shared" si="21"/>
        <v>-1634.703783917525</v>
      </c>
      <c r="H241" s="57">
        <f>-C240*Premissas!$C$30</f>
        <v>-123.0003759145426</v>
      </c>
      <c r="I241" s="58">
        <f t="shared" si="24"/>
        <v>-3226.021842227522</v>
      </c>
    </row>
    <row r="242" spans="2:9" s="38" customFormat="1" ht="14.5" outlineLevel="1">
      <c r="B242" s="54">
        <f t="shared" si="25"/>
        <v>222</v>
      </c>
      <c r="C242" s="55">
        <f t="shared" si="26"/>
        <v>202581.19413155864</v>
      </c>
      <c r="D242" s="56">
        <f t="shared" si="22"/>
        <v>254.74073389741767</v>
      </c>
      <c r="E242" s="56">
        <f t="shared" si="23"/>
        <v>1625.0707080480111</v>
      </c>
      <c r="F242" s="57">
        <f t="shared" si="27"/>
        <v>-1466.1337202729073</v>
      </c>
      <c r="G242" s="57">
        <f t="shared" si="21"/>
        <v>-1625.0707080480111</v>
      </c>
      <c r="H242" s="57">
        <f>-C241*Premissas!$C$30</f>
        <v>-122.27555227076047</v>
      </c>
      <c r="I242" s="58">
        <f t="shared" si="24"/>
        <v>-3217.4968305674183</v>
      </c>
    </row>
    <row r="243" spans="2:9" s="38" customFormat="1" ht="14.5" outlineLevel="1">
      <c r="B243" s="54">
        <f t="shared" si="25"/>
        <v>223</v>
      </c>
      <c r="C243" s="55">
        <f t="shared" si="26"/>
        <v>201366.44095660312</v>
      </c>
      <c r="D243" s="56">
        <f t="shared" si="22"/>
        <v>253.2264926644483</v>
      </c>
      <c r="E243" s="56">
        <f t="shared" si="23"/>
        <v>1615.4108902600638</v>
      </c>
      <c r="F243" s="57">
        <f t="shared" si="27"/>
        <v>-1467.9796676199901</v>
      </c>
      <c r="G243" s="57">
        <f t="shared" si="21"/>
        <v>-1615.4108902600638</v>
      </c>
      <c r="H243" s="57">
        <f>-C242*Premissas!$C$30</f>
        <v>-121.54871647893518</v>
      </c>
      <c r="I243" s="58">
        <f t="shared" si="24"/>
        <v>-3208.9454484519379</v>
      </c>
    </row>
    <row r="244" spans="2:9" s="38" customFormat="1" ht="14.5" outlineLevel="1">
      <c r="B244" s="54">
        <f t="shared" si="25"/>
        <v>224</v>
      </c>
      <c r="C244" s="55">
        <f t="shared" si="26"/>
        <v>200148.32097161928</v>
      </c>
      <c r="D244" s="56">
        <f t="shared" si="22"/>
        <v>251.70805119575391</v>
      </c>
      <c r="E244" s="56">
        <f t="shared" si="23"/>
        <v>1605.7242778565117</v>
      </c>
      <c r="F244" s="57">
        <f t="shared" si="27"/>
        <v>-1469.8280361795848</v>
      </c>
      <c r="G244" s="57">
        <f t="shared" si="21"/>
        <v>-1605.7242778565117</v>
      </c>
      <c r="H244" s="57">
        <f>-C243*Premissas!$C$30</f>
        <v>-120.81986457396187</v>
      </c>
      <c r="I244" s="58">
        <f t="shared" si="24"/>
        <v>-3200.3676438333205</v>
      </c>
    </row>
    <row r="245" spans="2:9" s="38" customFormat="1" ht="14.5" outlineLevel="1">
      <c r="B245" s="54">
        <f t="shared" si="25"/>
        <v>225</v>
      </c>
      <c r="C245" s="55">
        <f t="shared" si="26"/>
        <v>198926.82754216011</v>
      </c>
      <c r="D245" s="56">
        <f t="shared" si="22"/>
        <v>250.18540121452409</v>
      </c>
      <c r="E245" s="56">
        <f t="shared" si="23"/>
        <v>1596.0108180369964</v>
      </c>
      <c r="F245" s="57">
        <f t="shared" si="27"/>
        <v>-1471.6788306736712</v>
      </c>
      <c r="G245" s="57">
        <f t="shared" si="21"/>
        <v>-1596.0108180369964</v>
      </c>
      <c r="H245" s="57">
        <f>-C244*Premissas!$C$30</f>
        <v>-120.08899258297156</v>
      </c>
      <c r="I245" s="58">
        <f t="shared" si="24"/>
        <v>-3191.7633645952565</v>
      </c>
    </row>
    <row r="246" spans="2:9" s="38" customFormat="1" ht="14.5" outlineLevel="1">
      <c r="B246" s="54">
        <f t="shared" si="25"/>
        <v>226</v>
      </c>
      <c r="C246" s="55">
        <f t="shared" si="26"/>
        <v>197701.95402071995</v>
      </c>
      <c r="D246" s="56">
        <f t="shared" si="22"/>
        <v>248.65853442770015</v>
      </c>
      <c r="E246" s="56">
        <f t="shared" si="23"/>
        <v>1586.2704578975058</v>
      </c>
      <c r="F246" s="57">
        <f t="shared" si="27"/>
        <v>-1473.5320558678527</v>
      </c>
      <c r="G246" s="57">
        <f t="shared" si="21"/>
        <v>-1586.2704578975058</v>
      </c>
      <c r="H246" s="57">
        <f>-C245*Premissas!$C$30</f>
        <v>-119.35609652529605</v>
      </c>
      <c r="I246" s="58">
        <f t="shared" si="24"/>
        <v>-3183.1325585535178</v>
      </c>
    </row>
    <row r="247" spans="2:9" s="38" customFormat="1" ht="14.5" outlineLevel="1">
      <c r="B247" s="54">
        <f t="shared" si="25"/>
        <v>227</v>
      </c>
      <c r="C247" s="55">
        <f t="shared" si="26"/>
        <v>196473.69374667332</v>
      </c>
      <c r="D247" s="56">
        <f t="shared" si="22"/>
        <v>247.12744252589994</v>
      </c>
      <c r="E247" s="56">
        <f t="shared" si="23"/>
        <v>1576.5031444298961</v>
      </c>
      <c r="F247" s="57">
        <f t="shared" si="27"/>
        <v>-1475.3877165725369</v>
      </c>
      <c r="G247" s="57">
        <f t="shared" si="21"/>
        <v>-1576.5031444298961</v>
      </c>
      <c r="H247" s="57">
        <f>-C246*Premissas!$C$30</f>
        <v>-118.62117241243196</v>
      </c>
      <c r="I247" s="58">
        <f t="shared" si="24"/>
        <v>-3174.475173456633</v>
      </c>
    </row>
    <row r="248" spans="2:9" s="38" customFormat="1" ht="14.5" outlineLevel="1">
      <c r="B248" s="54">
        <f t="shared" si="25"/>
        <v>228</v>
      </c>
      <c r="C248" s="55">
        <f t="shared" si="26"/>
        <v>195242.0400462125</v>
      </c>
      <c r="D248" s="56">
        <f t="shared" si="22"/>
        <v>245.59211718334166</v>
      </c>
      <c r="E248" s="56">
        <f t="shared" si="23"/>
        <v>1566.7088245214045</v>
      </c>
      <c r="F248" s="57">
        <f t="shared" si="27"/>
        <v>-1477.2458176441603</v>
      </c>
      <c r="G248" s="57">
        <f t="shared" si="21"/>
        <v>-1566.7088245214045</v>
      </c>
      <c r="H248" s="57">
        <f>-C247*Premissas!$C$30</f>
        <v>-117.88421624800398</v>
      </c>
      <c r="I248" s="58">
        <f t="shared" si="24"/>
        <v>-3165.791156986586</v>
      </c>
    </row>
    <row r="249" spans="2:9" s="38" customFormat="1" ht="14.5" outlineLevel="1">
      <c r="B249" s="54">
        <f t="shared" si="25"/>
        <v>229</v>
      </c>
      <c r="C249" s="55">
        <f t="shared" si="26"/>
        <v>194006.98623228382</v>
      </c>
      <c r="D249" s="56">
        <f t="shared" si="22"/>
        <v>244.05255005776561</v>
      </c>
      <c r="E249" s="56">
        <f t="shared" si="23"/>
        <v>1556.8874449541509</v>
      </c>
      <c r="F249" s="57">
        <f t="shared" si="27"/>
        <v>-1479.1063639864583</v>
      </c>
      <c r="G249" s="57">
        <f t="shared" si="21"/>
        <v>-1556.8874449541509</v>
      </c>
      <c r="H249" s="57">
        <f>-C248*Premissas!$C$30</f>
        <v>-117.14522402772749</v>
      </c>
      <c r="I249" s="58">
        <f t="shared" si="24"/>
        <v>-3157.0804567595469</v>
      </c>
    </row>
    <row r="250" spans="2:9" s="38" customFormat="1" ht="14.5" outlineLevel="1">
      <c r="B250" s="54">
        <f t="shared" si="25"/>
        <v>230</v>
      </c>
      <c r="C250" s="55">
        <f t="shared" si="26"/>
        <v>192768.52560452238</v>
      </c>
      <c r="D250" s="56">
        <f t="shared" si="22"/>
        <v>242.50873279035477</v>
      </c>
      <c r="E250" s="56">
        <f t="shared" si="23"/>
        <v>1547.0389524046304</v>
      </c>
      <c r="F250" s="57">
        <f t="shared" si="27"/>
        <v>-1480.9693605517848</v>
      </c>
      <c r="G250" s="57">
        <f t="shared" si="21"/>
        <v>-1547.0389524046304</v>
      </c>
      <c r="H250" s="57">
        <f>-C249*Premissas!$C$30</f>
        <v>-116.40419173937028</v>
      </c>
      <c r="I250" s="58">
        <f t="shared" si="24"/>
        <v>-3148.3430203266553</v>
      </c>
    </row>
    <row r="251" spans="2:9" s="38" customFormat="1" ht="14.5" outlineLevel="1">
      <c r="B251" s="54">
        <f t="shared" si="25"/>
        <v>231</v>
      </c>
      <c r="C251" s="55">
        <f t="shared" si="26"/>
        <v>191526.65144918556</v>
      </c>
      <c r="D251" s="56">
        <f t="shared" si="22"/>
        <v>240.96065700565299</v>
      </c>
      <c r="E251" s="56">
        <f t="shared" si="23"/>
        <v>1537.1632934431923</v>
      </c>
      <c r="F251" s="57">
        <f t="shared" si="27"/>
        <v>-1482.8348123424798</v>
      </c>
      <c r="G251" s="57">
        <f t="shared" si="21"/>
        <v>-1537.1632934431923</v>
      </c>
      <c r="H251" s="57">
        <f>-C250*Premissas!$C$30</f>
        <v>-115.66111536271342</v>
      </c>
      <c r="I251" s="58">
        <f t="shared" si="24"/>
        <v>-3139.5787951748212</v>
      </c>
    </row>
    <row r="252" spans="2:9" s="38" customFormat="1" ht="14.5" outlineLevel="1">
      <c r="B252" s="54">
        <f t="shared" si="25"/>
        <v>232</v>
      </c>
      <c r="C252" s="55">
        <f t="shared" si="26"/>
        <v>190281.35703908475</v>
      </c>
      <c r="D252" s="56">
        <f t="shared" si="22"/>
        <v>239.40831431148194</v>
      </c>
      <c r="E252" s="56">
        <f t="shared" si="23"/>
        <v>1527.2604145335104</v>
      </c>
      <c r="F252" s="57">
        <f t="shared" si="27"/>
        <v>-1484.7027244122912</v>
      </c>
      <c r="G252" s="57">
        <f t="shared" si="21"/>
        <v>-1527.2604145335104</v>
      </c>
      <c r="H252" s="57">
        <f>-C251*Premissas!$C$30</f>
        <v>-114.91599086951133</v>
      </c>
      <c r="I252" s="58">
        <f t="shared" si="24"/>
        <v>-3130.7877287275824</v>
      </c>
    </row>
    <row r="253" spans="2:9" s="38" customFormat="1" ht="14.5" outlineLevel="1">
      <c r="B253" s="54">
        <f t="shared" si="25"/>
        <v>233</v>
      </c>
      <c r="C253" s="55">
        <f t="shared" si="26"/>
        <v>189032.63563351575</v>
      </c>
      <c r="D253" s="56">
        <f t="shared" si="22"/>
        <v>237.85169629885593</v>
      </c>
      <c r="E253" s="56">
        <f t="shared" si="23"/>
        <v>1517.3302620320376</v>
      </c>
      <c r="F253" s="57">
        <f t="shared" si="27"/>
        <v>-1486.5731018678496</v>
      </c>
      <c r="G253" s="57">
        <f t="shared" si="21"/>
        <v>-1517.3302620320376</v>
      </c>
      <c r="H253" s="57">
        <f>-C252*Premissas!$C$30</f>
        <v>-114.16881422345084</v>
      </c>
      <c r="I253" s="58">
        <f t="shared" si="24"/>
        <v>-3121.9697683459917</v>
      </c>
    </row>
    <row r="254" spans="2:9" s="38" customFormat="1" ht="14.5" outlineLevel="1">
      <c r="B254" s="54">
        <f t="shared" si="25"/>
        <v>234</v>
      </c>
      <c r="C254" s="55">
        <f t="shared" si="26"/>
        <v>187780.48047818744</v>
      </c>
      <c r="D254" s="56">
        <f t="shared" si="22"/>
        <v>236.29079454189468</v>
      </c>
      <c r="E254" s="56">
        <f t="shared" si="23"/>
        <v>1507.3727821874522</v>
      </c>
      <c r="F254" s="57">
        <f t="shared" si="27"/>
        <v>-1488.4459498702026</v>
      </c>
      <c r="G254" s="57">
        <f t="shared" si="21"/>
        <v>-1507.3727821874522</v>
      </c>
      <c r="H254" s="57">
        <f>-C253*Premissas!$C$30</f>
        <v>-113.41958138010943</v>
      </c>
      <c r="I254" s="58">
        <f t="shared" si="24"/>
        <v>-3113.1248613295611</v>
      </c>
    </row>
    <row r="255" spans="2:9" s="38" customFormat="1" ht="14.5" outlineLevel="1">
      <c r="B255" s="54">
        <f t="shared" si="25"/>
        <v>235</v>
      </c>
      <c r="C255" s="55">
        <f t="shared" si="26"/>
        <v>186524.88480514876</v>
      </c>
      <c r="D255" s="56">
        <f t="shared" si="22"/>
        <v>234.72560059773431</v>
      </c>
      <c r="E255" s="56">
        <f t="shared" si="23"/>
        <v>1497.3879211400886</v>
      </c>
      <c r="F255" s="57">
        <f t="shared" si="27"/>
        <v>-1490.3212736364083</v>
      </c>
      <c r="G255" s="57">
        <f t="shared" si="21"/>
        <v>-1497.3879211400886</v>
      </c>
      <c r="H255" s="57">
        <f>-C254*Premissas!$C$30</f>
        <v>-112.66828828691246</v>
      </c>
      <c r="I255" s="58">
        <f t="shared" si="24"/>
        <v>-3104.2529549172386</v>
      </c>
    </row>
    <row r="256" spans="2:9" s="38" customFormat="1" ht="14.5" outlineLevel="1">
      <c r="B256" s="54">
        <f t="shared" si="25"/>
        <v>236</v>
      </c>
      <c r="C256" s="55">
        <f t="shared" si="26"/>
        <v>185265.84183271401</v>
      </c>
      <c r="D256" s="56">
        <f t="shared" si="22"/>
        <v>233.15610600643595</v>
      </c>
      <c r="E256" s="56">
        <f t="shared" si="23"/>
        <v>1487.3756249213541</v>
      </c>
      <c r="F256" s="57">
        <f t="shared" si="27"/>
        <v>-1492.1990784411901</v>
      </c>
      <c r="G256" s="57">
        <f t="shared" si="21"/>
        <v>-1487.3756249213541</v>
      </c>
      <c r="H256" s="57">
        <f>-C255*Premissas!$C$30</f>
        <v>-111.91493088308924</v>
      </c>
      <c r="I256" s="58">
        <f t="shared" si="24"/>
        <v>-3095.3539962884402</v>
      </c>
    </row>
    <row r="257" spans="2:9" s="38" customFormat="1" ht="14.5" outlineLevel="1">
      <c r="B257" s="54">
        <f t="shared" si="25"/>
        <v>237</v>
      </c>
      <c r="C257" s="55">
        <f t="shared" si="26"/>
        <v>184003.34476538622</v>
      </c>
      <c r="D257" s="56">
        <f t="shared" si="22"/>
        <v>231.58230229089253</v>
      </c>
      <c r="E257" s="56">
        <f t="shared" si="23"/>
        <v>1477.3358394531351</v>
      </c>
      <c r="F257" s="57">
        <f t="shared" si="27"/>
        <v>-1494.0793696186613</v>
      </c>
      <c r="G257" s="57">
        <f t="shared" si="21"/>
        <v>-1477.3358394531351</v>
      </c>
      <c r="H257" s="57">
        <f>-C256*Premissas!$C$30</f>
        <v>-111.15950509962839</v>
      </c>
      <c r="I257" s="58">
        <f t="shared" si="24"/>
        <v>-3086.4279325641387</v>
      </c>
    </row>
    <row r="258" spans="2:9" s="38" customFormat="1" ht="14.5" outlineLevel="1">
      <c r="B258" s="54">
        <f t="shared" si="25"/>
        <v>238</v>
      </c>
      <c r="C258" s="55">
        <f t="shared" si="26"/>
        <v>182737.38679377883</v>
      </c>
      <c r="D258" s="56">
        <f t="shared" si="22"/>
        <v>230.0041809567328</v>
      </c>
      <c r="E258" s="56">
        <f t="shared" si="23"/>
        <v>1467.2685105471842</v>
      </c>
      <c r="F258" s="57">
        <f t="shared" si="27"/>
        <v>-1495.9621525641157</v>
      </c>
      <c r="G258" s="57">
        <f t="shared" si="21"/>
        <v>-1467.2685105471842</v>
      </c>
      <c r="H258" s="57">
        <f>-C257*Premissas!$C$30</f>
        <v>-110.40200685923172</v>
      </c>
      <c r="I258" s="58">
        <f t="shared" si="24"/>
        <v>-3077.4747108079946</v>
      </c>
    </row>
    <row r="259" spans="2:9" s="38" customFormat="1" ht="14.5" outlineLevel="1">
      <c r="B259" s="54">
        <f t="shared" si="25"/>
        <v>239</v>
      </c>
      <c r="C259" s="55">
        <f t="shared" si="26"/>
        <v>181467.96109453516</v>
      </c>
      <c r="D259" s="56">
        <f t="shared" si="22"/>
        <v>228.42173349222355</v>
      </c>
      <c r="E259" s="56">
        <f t="shared" si="23"/>
        <v>1457.1735839044966</v>
      </c>
      <c r="F259" s="57">
        <f t="shared" si="27"/>
        <v>-1497.847432735892</v>
      </c>
      <c r="G259" s="57">
        <f t="shared" si="21"/>
        <v>-1457.1735839044966</v>
      </c>
      <c r="H259" s="57">
        <f>-C258*Premissas!$C$30</f>
        <v>-109.64243207626728</v>
      </c>
      <c r="I259" s="58">
        <f t="shared" si="24"/>
        <v>-3068.4942780275514</v>
      </c>
    </row>
    <row r="260" spans="2:9" s="38" customFormat="1" ht="14.5" outlineLevel="1">
      <c r="B260" s="54">
        <f t="shared" si="25"/>
        <v>240</v>
      </c>
      <c r="C260" s="55">
        <f t="shared" si="26"/>
        <v>180195.06083024602</v>
      </c>
      <c r="D260" s="56">
        <f t="shared" si="22"/>
        <v>226.83495136816896</v>
      </c>
      <c r="E260" s="56">
        <f t="shared" si="23"/>
        <v>1447.0510051146682</v>
      </c>
      <c r="F260" s="57">
        <f t="shared" si="27"/>
        <v>-1499.7352156573154</v>
      </c>
      <c r="G260" s="57">
        <f t="shared" si="21"/>
        <v>-1447.0510051146682</v>
      </c>
      <c r="H260" s="57">
        <f>-C259*Premissas!$C$30</f>
        <v>-108.88077665672108</v>
      </c>
      <c r="I260" s="58">
        <f t="shared" si="24"/>
        <v>-3059.4865811754903</v>
      </c>
    </row>
    <row r="261" spans="2:9" s="38" customFormat="1" ht="14.5" outlineLevel="1">
      <c r="B261" s="54">
        <f t="shared" si="25"/>
        <v>241</v>
      </c>
      <c r="C261" s="55">
        <f t="shared" si="26"/>
        <v>178918.67914936511</v>
      </c>
      <c r="D261" s="56">
        <f t="shared" si="22"/>
        <v>225.24382603780754</v>
      </c>
      <c r="E261" s="56">
        <f t="shared" si="23"/>
        <v>1436.9007196552379</v>
      </c>
      <c r="F261" s="57">
        <f t="shared" si="27"/>
        <v>-1501.6255069187168</v>
      </c>
      <c r="G261" s="57">
        <f t="shared" si="21"/>
        <v>-1436.9007196552379</v>
      </c>
      <c r="H261" s="57">
        <f>-C260*Premissas!$C$30</f>
        <v>-108.1170364981476</v>
      </c>
      <c r="I261" s="58">
        <f t="shared" si="24"/>
        <v>-3050.4515671509425</v>
      </c>
    </row>
    <row r="262" spans="2:9" s="38" customFormat="1" ht="14.5" outlineLevel="1">
      <c r="B262" s="54">
        <f t="shared" si="25"/>
        <v>242</v>
      </c>
      <c r="C262" s="55">
        <f t="shared" si="26"/>
        <v>177638.80918612226</v>
      </c>
      <c r="D262" s="56">
        <f t="shared" si="22"/>
        <v>223.64834893670638</v>
      </c>
      <c r="E262" s="56">
        <f t="shared" si="23"/>
        <v>1426.7226728910132</v>
      </c>
      <c r="F262" s="57">
        <f t="shared" si="27"/>
        <v>-1503.5183121795387</v>
      </c>
      <c r="G262" s="57">
        <f t="shared" si="21"/>
        <v>-1426.7226728910132</v>
      </c>
      <c r="H262" s="57">
        <f>-C261*Premissas!$C$30</f>
        <v>-107.35120748961906</v>
      </c>
      <c r="I262" s="58">
        <f t="shared" si="24"/>
        <v>-3041.3891828008709</v>
      </c>
    </row>
    <row r="263" spans="2:9" s="38" customFormat="1" ht="14.5" outlineLevel="1">
      <c r="B263" s="54">
        <f t="shared" si="25"/>
        <v>243</v>
      </c>
      <c r="C263" s="55">
        <f t="shared" si="26"/>
        <v>176355.44406043438</v>
      </c>
      <c r="D263" s="56">
        <f t="shared" si="22"/>
        <v>222.04851148265283</v>
      </c>
      <c r="E263" s="56">
        <f t="shared" si="23"/>
        <v>1416.516810073379</v>
      </c>
      <c r="F263" s="57">
        <f t="shared" si="27"/>
        <v>-1505.4136371705276</v>
      </c>
      <c r="G263" s="57">
        <f t="shared" si="21"/>
        <v>-1416.516810073379</v>
      </c>
      <c r="H263" s="57">
        <f>-C262*Premissas!$C$30</f>
        <v>-106.58328551167335</v>
      </c>
      <c r="I263" s="58">
        <f t="shared" si="24"/>
        <v>-3032.2993749215243</v>
      </c>
    </row>
    <row r="264" spans="2:9" s="38" customFormat="1" ht="14.5" outlineLevel="1">
      <c r="B264" s="54">
        <f t="shared" si="25"/>
        <v>244</v>
      </c>
      <c r="C264" s="55">
        <f t="shared" si="26"/>
        <v>175068.5768778139</v>
      </c>
      <c r="D264" s="56">
        <f t="shared" si="22"/>
        <v>220.44430507554299</v>
      </c>
      <c r="E264" s="56">
        <f t="shared" si="23"/>
        <v>1406.2830763395859</v>
      </c>
      <c r="F264" s="57">
        <f t="shared" si="27"/>
        <v>-1507.3114876960203</v>
      </c>
      <c r="G264" s="57">
        <f t="shared" si="21"/>
        <v>-1406.2830763395859</v>
      </c>
      <c r="H264" s="57">
        <f>-C263*Premissas!$C$30</f>
        <v>-105.81326643626062</v>
      </c>
      <c r="I264" s="58">
        <f t="shared" si="24"/>
        <v>-3023.1820902599566</v>
      </c>
    </row>
    <row r="265" spans="2:9" s="38" customFormat="1" ht="14.5" outlineLevel="1">
      <c r="B265" s="54">
        <f t="shared" si="25"/>
        <v>245</v>
      </c>
      <c r="C265" s="55">
        <f t="shared" si="26"/>
        <v>173778.20072927486</v>
      </c>
      <c r="D265" s="56">
        <f t="shared" si="22"/>
        <v>218.8357210972674</v>
      </c>
      <c r="E265" s="56">
        <f t="shared" si="23"/>
        <v>1396.0214167120225</v>
      </c>
      <c r="F265" s="57">
        <f t="shared" si="27"/>
        <v>-1509.2118696363268</v>
      </c>
      <c r="G265" s="57">
        <f t="shared" si="21"/>
        <v>-1396.0214167120225</v>
      </c>
      <c r="H265" s="57">
        <f>-C264*Premissas!$C$30</f>
        <v>-105.04114612668833</v>
      </c>
      <c r="I265" s="58">
        <f t="shared" si="24"/>
        <v>-3014.0372755156318</v>
      </c>
    </row>
    <row r="266" spans="2:9" s="38" customFormat="1" ht="14.5" outlineLevel="1">
      <c r="B266" s="54">
        <f t="shared" si="25"/>
        <v>246</v>
      </c>
      <c r="C266" s="55">
        <f t="shared" si="26"/>
        <v>172484.30869123625</v>
      </c>
      <c r="D266" s="56">
        <f t="shared" si="22"/>
        <v>217.22275091159358</v>
      </c>
      <c r="E266" s="56">
        <f t="shared" si="23"/>
        <v>1385.7317760974643</v>
      </c>
      <c r="F266" s="57">
        <f t="shared" si="27"/>
        <v>-1511.1147889502163</v>
      </c>
      <c r="G266" s="57">
        <f t="shared" si="21"/>
        <v>-1385.7317760974643</v>
      </c>
      <c r="H266" s="57">
        <f>-C265*Premissas!$C$30</f>
        <v>-104.26692043756491</v>
      </c>
      <c r="I266" s="58">
        <f t="shared" si="24"/>
        <v>-3004.8648773421019</v>
      </c>
    </row>
    <row r="267" spans="2:9" s="38" customFormat="1" ht="14.5" outlineLevel="1">
      <c r="B267" s="54">
        <f t="shared" si="25"/>
        <v>247</v>
      </c>
      <c r="C267" s="55">
        <f t="shared" si="26"/>
        <v>171186.89382542277</v>
      </c>
      <c r="D267" s="56">
        <f t="shared" si="22"/>
        <v>215.6053858640453</v>
      </c>
      <c r="E267" s="56">
        <f t="shared" si="23"/>
        <v>1375.414099286304</v>
      </c>
      <c r="F267" s="57">
        <f t="shared" si="27"/>
        <v>-1513.0202516775109</v>
      </c>
      <c r="G267" s="57">
        <f t="shared" si="21"/>
        <v>-1375.414099286304</v>
      </c>
      <c r="H267" s="57">
        <f>-C266*Premissas!$C$30</f>
        <v>-103.49058521474174</v>
      </c>
      <c r="I267" s="58">
        <f t="shared" si="24"/>
        <v>-2995.6648423487795</v>
      </c>
    </row>
    <row r="268" spans="2:9" s="38" customFormat="1" ht="14.5" outlineLevel="1">
      <c r="B268" s="54">
        <f t="shared" si="25"/>
        <v>248</v>
      </c>
      <c r="C268" s="55">
        <f t="shared" si="26"/>
        <v>169885.94917876273</v>
      </c>
      <c r="D268" s="56">
        <f t="shared" si="22"/>
        <v>213.98361728177846</v>
      </c>
      <c r="E268" s="56">
        <f t="shared" si="23"/>
        <v>1365.0683309517599</v>
      </c>
      <c r="F268" s="57">
        <f t="shared" si="27"/>
        <v>-1514.9282639417945</v>
      </c>
      <c r="G268" s="57">
        <f t="shared" si="21"/>
        <v>-1365.0683309517599</v>
      </c>
      <c r="H268" s="57">
        <f>-C267*Premissas!$C$30</f>
        <v>-102.71213629525366</v>
      </c>
      <c r="I268" s="58">
        <f t="shared" si="24"/>
        <v>-2986.4371171027938</v>
      </c>
    </row>
    <row r="269" spans="2:9" s="38" customFormat="1" ht="14.5" outlineLevel="1">
      <c r="B269" s="54">
        <f t="shared" si="25"/>
        <v>249</v>
      </c>
      <c r="C269" s="55">
        <f t="shared" si="26"/>
        <v>168581.46778328295</v>
      </c>
      <c r="D269" s="56">
        <f t="shared" si="22"/>
        <v>212.35743647345342</v>
      </c>
      <c r="E269" s="56">
        <f t="shared" si="23"/>
        <v>1354.6944156490622</v>
      </c>
      <c r="F269" s="57">
        <f t="shared" si="27"/>
        <v>-1516.8388319532387</v>
      </c>
      <c r="G269" s="57">
        <f t="shared" si="21"/>
        <v>-1354.6944156490622</v>
      </c>
      <c r="H269" s="57">
        <f>-C268*Premissas!$C$30</f>
        <v>-101.93156950725763</v>
      </c>
      <c r="I269" s="58">
        <f t="shared" si="24"/>
        <v>-2977.1816481309456</v>
      </c>
    </row>
    <row r="270" spans="2:9" s="38" customFormat="1" ht="14.5" outlineLevel="1">
      <c r="B270" s="54">
        <f t="shared" si="25"/>
        <v>250</v>
      </c>
      <c r="C270" s="55">
        <f t="shared" si="26"/>
        <v>167273.44265600049</v>
      </c>
      <c r="D270" s="56">
        <f t="shared" si="22"/>
        <v>210.7268347291037</v>
      </c>
      <c r="E270" s="56">
        <f t="shared" si="23"/>
        <v>1344.2922978146139</v>
      </c>
      <c r="F270" s="57">
        <f t="shared" si="27"/>
        <v>-1518.7519620115581</v>
      </c>
      <c r="G270" s="57">
        <f t="shared" si="21"/>
        <v>-1344.2922978146139</v>
      </c>
      <c r="H270" s="57">
        <f>-C269*Premissas!$C$30</f>
        <v>-101.14888066996976</v>
      </c>
      <c r="I270" s="58">
        <f t="shared" si="24"/>
        <v>-2967.8983819217619</v>
      </c>
    </row>
    <row r="271" spans="2:9" s="38" customFormat="1" ht="14.5" outlineLevel="1">
      <c r="B271" s="54">
        <f t="shared" si="25"/>
        <v>251</v>
      </c>
      <c r="C271" s="55">
        <f t="shared" si="26"/>
        <v>165961.86679881142</v>
      </c>
      <c r="D271" s="56">
        <f t="shared" si="22"/>
        <v>209.09180332000062</v>
      </c>
      <c r="E271" s="56">
        <f t="shared" si="23"/>
        <v>1333.861921765129</v>
      </c>
      <c r="F271" s="57">
        <f t="shared" si="27"/>
        <v>-1520.6676605090954</v>
      </c>
      <c r="G271" s="57">
        <f t="shared" si="21"/>
        <v>-1333.861921765129</v>
      </c>
      <c r="H271" s="57">
        <f>-C270*Premissas!$C$30</f>
        <v>-100.36406559360029</v>
      </c>
      <c r="I271" s="58">
        <f t="shared" si="24"/>
        <v>-2958.5872649276594</v>
      </c>
    </row>
    <row r="272" spans="2:9" s="38" customFormat="1" ht="14.5" outlineLevel="1">
      <c r="B272" s="54">
        <f t="shared" si="25"/>
        <v>252</v>
      </c>
      <c r="C272" s="55">
        <f t="shared" si="26"/>
        <v>164646.73319837588</v>
      </c>
      <c r="D272" s="56">
        <f t="shared" si="22"/>
        <v>207.45233349851426</v>
      </c>
      <c r="E272" s="56">
        <f t="shared" si="23"/>
        <v>1323.4032316967434</v>
      </c>
      <c r="F272" s="57">
        <f t="shared" si="27"/>
        <v>-1522.5859339340498</v>
      </c>
      <c r="G272" s="57">
        <f t="shared" si="21"/>
        <v>-1323.4032316967434</v>
      </c>
      <c r="H272" s="57">
        <f>-C271*Premissas!$C$30</f>
        <v>-99.577120079286843</v>
      </c>
      <c r="I272" s="58">
        <f t="shared" si="24"/>
        <v>-2949.2482435672177</v>
      </c>
    </row>
    <row r="273" spans="2:9" s="38" customFormat="1" ht="14.5" outlineLevel="1">
      <c r="B273" s="54">
        <f t="shared" si="25"/>
        <v>253</v>
      </c>
      <c r="C273" s="55">
        <f t="shared" si="26"/>
        <v>163328.03482600002</v>
      </c>
      <c r="D273" s="56">
        <f t="shared" si="22"/>
        <v>205.80841649796986</v>
      </c>
      <c r="E273" s="56">
        <f t="shared" si="23"/>
        <v>1312.9161716841006</v>
      </c>
      <c r="F273" s="57">
        <f t="shared" si="27"/>
        <v>-1524.5067888738506</v>
      </c>
      <c r="G273" s="57">
        <f t="shared" si="21"/>
        <v>-1312.9161716841006</v>
      </c>
      <c r="H273" s="57">
        <f>-C272*Premissas!$C$30</f>
        <v>-98.788039919025522</v>
      </c>
      <c r="I273" s="58">
        <f t="shared" si="24"/>
        <v>-2939.8812642275725</v>
      </c>
    </row>
    <row r="274" spans="2:9" s="38" customFormat="1" ht="14.5" outlineLevel="1">
      <c r="B274" s="54">
        <f t="shared" si="25"/>
        <v>254</v>
      </c>
      <c r="C274" s="55">
        <f t="shared" si="26"/>
        <v>162005.76463751381</v>
      </c>
      <c r="D274" s="56">
        <f t="shared" si="22"/>
        <v>204.16004353250003</v>
      </c>
      <c r="E274" s="56">
        <f t="shared" si="23"/>
        <v>1302.4006856794088</v>
      </c>
      <c r="F274" s="57">
        <f t="shared" si="27"/>
        <v>-1526.4302320186916</v>
      </c>
      <c r="G274" s="57">
        <f t="shared" si="21"/>
        <v>-1302.4006856794088</v>
      </c>
      <c r="H274" s="57">
        <f>-C273*Premissas!$C$30</f>
        <v>-97.996820895599996</v>
      </c>
      <c r="I274" s="58">
        <f t="shared" si="24"/>
        <v>-2930.4862732669426</v>
      </c>
    </row>
    <row r="275" spans="2:9" s="38" customFormat="1" ht="14.5" outlineLevel="1">
      <c r="B275" s="54">
        <f t="shared" si="25"/>
        <v>255</v>
      </c>
      <c r="C275" s="55">
        <f t="shared" si="26"/>
        <v>160679.9155731455</v>
      </c>
      <c r="D275" s="56">
        <f t="shared" si="22"/>
        <v>202.50720579689226</v>
      </c>
      <c r="E275" s="56">
        <f t="shared" si="23"/>
        <v>1291.8567175114667</v>
      </c>
      <c r="F275" s="57">
        <f t="shared" si="27"/>
        <v>-1528.3562701652247</v>
      </c>
      <c r="G275" s="57">
        <f t="shared" si="21"/>
        <v>-1291.8567175114667</v>
      </c>
      <c r="H275" s="57">
        <f>-C274*Premissas!$C$30</f>
        <v>-97.203458782508278</v>
      </c>
      <c r="I275" s="58">
        <f t="shared" si="24"/>
        <v>-2921.0632170172735</v>
      </c>
    </row>
    <row r="276" spans="2:9" s="38" customFormat="1" ht="14.5" outlineLevel="1">
      <c r="B276" s="54">
        <f t="shared" si="25"/>
        <v>256</v>
      </c>
      <c r="C276" s="55">
        <f t="shared" si="26"/>
        <v>159350.48055739151</v>
      </c>
      <c r="D276" s="56">
        <f t="shared" si="22"/>
        <v>200.84989446643186</v>
      </c>
      <c r="E276" s="56">
        <f t="shared" si="23"/>
        <v>1281.284210884663</v>
      </c>
      <c r="F276" s="57">
        <f t="shared" si="27"/>
        <v>-1530.2849102204334</v>
      </c>
      <c r="G276" s="57">
        <f t="shared" si="21"/>
        <v>-1281.284210884663</v>
      </c>
      <c r="H276" s="57">
        <f>-C275*Premissas!$C$30</f>
        <v>-96.407949343887296</v>
      </c>
      <c r="I276" s="58">
        <f t="shared" si="24"/>
        <v>-2911.6120417870443</v>
      </c>
    </row>
    <row r="277" spans="2:9" s="38" customFormat="1" ht="14.5" outlineLevel="1">
      <c r="B277" s="54">
        <f t="shared" si="25"/>
        <v>257</v>
      </c>
      <c r="C277" s="55">
        <f t="shared" si="26"/>
        <v>158017.45249888257</v>
      </c>
      <c r="D277" s="56">
        <f t="shared" si="22"/>
        <v>199.18810069673938</v>
      </c>
      <c r="E277" s="56">
        <f t="shared" si="23"/>
        <v>1270.6831093779388</v>
      </c>
      <c r="F277" s="57">
        <f t="shared" si="27"/>
        <v>-1532.2161592056875</v>
      </c>
      <c r="G277" s="57">
        <f t="shared" ref="G277:G340" si="28">-E277</f>
        <v>-1270.6831093779388</v>
      </c>
      <c r="H277" s="57">
        <f>-C276*Premissas!$C$30</f>
        <v>-95.610288334434898</v>
      </c>
      <c r="I277" s="58">
        <f t="shared" si="24"/>
        <v>-2902.1326938642087</v>
      </c>
    </row>
    <row r="278" spans="2:9" s="38" customFormat="1" ht="14.5" outlineLevel="1">
      <c r="B278" s="54">
        <f t="shared" si="25"/>
        <v>258</v>
      </c>
      <c r="C278" s="55">
        <f t="shared" si="26"/>
        <v>156680.82429024516</v>
      </c>
      <c r="D278" s="56">
        <f t="shared" ref="D278:D341" si="29">C277*(TR/12)</f>
        <v>197.52181562360323</v>
      </c>
      <c r="E278" s="56">
        <f t="shared" ref="E278:E341" si="30">C277*$C$9</f>
        <v>1260.0533564437196</v>
      </c>
      <c r="F278" s="57">
        <f t="shared" si="27"/>
        <v>-1534.1500242609959</v>
      </c>
      <c r="G278" s="57">
        <f t="shared" si="28"/>
        <v>-1260.0533564437196</v>
      </c>
      <c r="H278" s="57">
        <f>-C277*Premissas!$C$30</f>
        <v>-94.810471499329537</v>
      </c>
      <c r="I278" s="58">
        <f t="shared" ref="I278:I341" si="31">SUM(F278:H278)*(1+TR/12)</f>
        <v>-2892.6251195193004</v>
      </c>
    </row>
    <row r="279" spans="2:9" s="38" customFormat="1" ht="14.5" outlineLevel="1">
      <c r="B279" s="54">
        <f t="shared" ref="B279:B342" si="32">B278+1</f>
        <v>259</v>
      </c>
      <c r="C279" s="55">
        <f t="shared" ref="C279:C342" si="33">C278+F279+D279</f>
        <v>155340.5888079585</v>
      </c>
      <c r="D279" s="56">
        <f t="shared" si="29"/>
        <v>195.85103036280645</v>
      </c>
      <c r="E279" s="56">
        <f t="shared" si="30"/>
        <v>1249.394895406811</v>
      </c>
      <c r="F279" s="57">
        <f t="shared" ref="F279:F342" si="34">IFERROR(-C278/($C$5-B278),"n/a")</f>
        <v>-1536.0865126494623</v>
      </c>
      <c r="G279" s="57">
        <f t="shared" si="28"/>
        <v>-1249.394895406811</v>
      </c>
      <c r="H279" s="57">
        <f>-C278*Premissas!$C$30</f>
        <v>-94.008494574147093</v>
      </c>
      <c r="I279" s="58">
        <f t="shared" si="31"/>
        <v>-2883.089265008708</v>
      </c>
    </row>
    <row r="280" spans="2:9" s="38" customFormat="1" ht="14.5" outlineLevel="1">
      <c r="B280" s="54">
        <f t="shared" si="32"/>
        <v>260</v>
      </c>
      <c r="C280" s="55">
        <f t="shared" si="33"/>
        <v>153996.73891220649</v>
      </c>
      <c r="D280" s="56">
        <f t="shared" si="29"/>
        <v>194.17573600994814</v>
      </c>
      <c r="E280" s="56">
        <f t="shared" si="30"/>
        <v>1238.7076694632574</v>
      </c>
      <c r="F280" s="57">
        <f t="shared" si="34"/>
        <v>-1538.0256317619653</v>
      </c>
      <c r="G280" s="57">
        <f t="shared" si="28"/>
        <v>-1238.7076694632574</v>
      </c>
      <c r="H280" s="57">
        <f>-C279*Premissas!$C$30</f>
        <v>-93.204353284775095</v>
      </c>
      <c r="I280" s="58">
        <f t="shared" si="31"/>
        <v>-2873.5250765781357</v>
      </c>
    </row>
    <row r="281" spans="2:9" s="38" customFormat="1" ht="14.5" outlineLevel="1">
      <c r="B281" s="54">
        <f t="shared" si="32"/>
        <v>261</v>
      </c>
      <c r="C281" s="55">
        <f t="shared" si="33"/>
        <v>152649.2674467247</v>
      </c>
      <c r="D281" s="56">
        <f t="shared" si="29"/>
        <v>192.49592364025813</v>
      </c>
      <c r="E281" s="56">
        <f t="shared" si="30"/>
        <v>1227.9916216791632</v>
      </c>
      <c r="F281" s="57">
        <f t="shared" si="34"/>
        <v>-1539.967389122065</v>
      </c>
      <c r="G281" s="57">
        <f t="shared" si="28"/>
        <v>-1227.9916216791632</v>
      </c>
      <c r="H281" s="57">
        <f>-C280*Premissas!$C$30</f>
        <v>-92.398043347323892</v>
      </c>
      <c r="I281" s="58">
        <f t="shared" si="31"/>
        <v>-2863.9325004662373</v>
      </c>
    </row>
    <row r="282" spans="2:9" s="38" customFormat="1" ht="14.5" outlineLevel="1">
      <c r="B282" s="54">
        <f t="shared" si="32"/>
        <v>262</v>
      </c>
      <c r="C282" s="55">
        <f t="shared" si="33"/>
        <v>151298.16723864194</v>
      </c>
      <c r="D282" s="56">
        <f t="shared" si="29"/>
        <v>190.81158430840588</v>
      </c>
      <c r="E282" s="56">
        <f t="shared" si="30"/>
        <v>1217.2466949894706</v>
      </c>
      <c r="F282" s="57">
        <f t="shared" si="34"/>
        <v>-1541.9117923911585</v>
      </c>
      <c r="G282" s="57">
        <f t="shared" si="28"/>
        <v>-1217.2466949894706</v>
      </c>
      <c r="H282" s="57">
        <f>-C281*Premissas!$C$30</f>
        <v>-91.589560468034804</v>
      </c>
      <c r="I282" s="58">
        <f t="shared" si="31"/>
        <v>-2854.3114829084748</v>
      </c>
    </row>
    <row r="283" spans="2:9" s="38" customFormat="1" ht="14.5" outlineLevel="1">
      <c r="B283" s="54">
        <f t="shared" si="32"/>
        <v>263</v>
      </c>
      <c r="C283" s="55">
        <f t="shared" si="33"/>
        <v>149943.43109831633</v>
      </c>
      <c r="D283" s="56">
        <f t="shared" si="29"/>
        <v>189.12270904830243</v>
      </c>
      <c r="E283" s="56">
        <f t="shared" si="30"/>
        <v>1206.4728321966977</v>
      </c>
      <c r="F283" s="57">
        <f t="shared" si="34"/>
        <v>-1543.8588493738973</v>
      </c>
      <c r="G283" s="57">
        <f t="shared" si="28"/>
        <v>-1206.4728321966977</v>
      </c>
      <c r="H283" s="57">
        <f>-C282*Premissas!$C$30</f>
        <v>-90.778900343185157</v>
      </c>
      <c r="I283" s="58">
        <f t="shared" si="31"/>
        <v>-2844.6619701411723</v>
      </c>
    </row>
    <row r="284" spans="2:9" s="38" customFormat="1" ht="14.5" outlineLevel="1">
      <c r="B284" s="54">
        <f t="shared" si="32"/>
        <v>264</v>
      </c>
      <c r="C284" s="55">
        <f t="shared" si="33"/>
        <v>148585.05181916535</v>
      </c>
      <c r="D284" s="56">
        <f t="shared" si="29"/>
        <v>187.42928887289543</v>
      </c>
      <c r="E284" s="56">
        <f t="shared" si="30"/>
        <v>1195.6699759696303</v>
      </c>
      <c r="F284" s="57">
        <f t="shared" si="34"/>
        <v>-1545.8085680238796</v>
      </c>
      <c r="G284" s="57">
        <f t="shared" si="28"/>
        <v>-1195.6699759696303</v>
      </c>
      <c r="H284" s="57">
        <f>-C283*Premissas!$C$30</f>
        <v>-89.966058658989795</v>
      </c>
      <c r="I284" s="58">
        <f t="shared" si="31"/>
        <v>-2834.9839084058153</v>
      </c>
    </row>
    <row r="285" spans="2:9" s="38" customFormat="1" ht="14.5" outlineLevel="1">
      <c r="B285" s="54">
        <f t="shared" si="32"/>
        <v>265</v>
      </c>
      <c r="C285" s="55">
        <f t="shared" si="33"/>
        <v>147223.02217748968</v>
      </c>
      <c r="D285" s="56">
        <f t="shared" si="29"/>
        <v>185.73131477395668</v>
      </c>
      <c r="E285" s="56">
        <f t="shared" si="30"/>
        <v>1184.8380688419672</v>
      </c>
      <c r="F285" s="57">
        <f t="shared" si="34"/>
        <v>-1547.760956449639</v>
      </c>
      <c r="G285" s="57">
        <f t="shared" si="28"/>
        <v>-1184.8380688419672</v>
      </c>
      <c r="H285" s="57">
        <f>-C284*Premissas!$C$30</f>
        <v>-89.151031091499206</v>
      </c>
      <c r="I285" s="58">
        <f t="shared" si="31"/>
        <v>-2825.2772439535843</v>
      </c>
    </row>
    <row r="286" spans="2:9" s="38" customFormat="1" ht="14.5" outlineLevel="1">
      <c r="B286" s="54">
        <f t="shared" si="32"/>
        <v>266</v>
      </c>
      <c r="C286" s="55">
        <f t="shared" si="33"/>
        <v>145857.3349322906</v>
      </c>
      <c r="D286" s="56">
        <f t="shared" si="29"/>
        <v>184.0287777218621</v>
      </c>
      <c r="E286" s="56">
        <f t="shared" si="30"/>
        <v>1173.977053210916</v>
      </c>
      <c r="F286" s="57">
        <f t="shared" si="34"/>
        <v>-1549.7160229209439</v>
      </c>
      <c r="G286" s="57">
        <f t="shared" si="28"/>
        <v>-1173.977053210916</v>
      </c>
      <c r="H286" s="57">
        <f>-C285*Premissas!$C$30</f>
        <v>-88.333813306493795</v>
      </c>
      <c r="I286" s="58">
        <f t="shared" si="31"/>
        <v>-2815.5419230501516</v>
      </c>
    </row>
    <row r="287" spans="2:9" s="38" customFormat="1" ht="14.5" outlineLevel="1">
      <c r="B287" s="54">
        <f t="shared" si="32"/>
        <v>267</v>
      </c>
      <c r="C287" s="55">
        <f t="shared" si="33"/>
        <v>144487.98282508051</v>
      </c>
      <c r="D287" s="56">
        <f t="shared" si="29"/>
        <v>182.32166866536326</v>
      </c>
      <c r="E287" s="56">
        <f t="shared" si="30"/>
        <v>1163.0868713357359</v>
      </c>
      <c r="F287" s="57">
        <f t="shared" si="34"/>
        <v>-1551.6737758754318</v>
      </c>
      <c r="G287" s="57">
        <f t="shared" si="28"/>
        <v>-1163.0868713357359</v>
      </c>
      <c r="H287" s="57">
        <f>-C286*Premissas!$C$30</f>
        <v>-87.514400959374356</v>
      </c>
      <c r="I287" s="58">
        <f t="shared" si="31"/>
        <v>-2805.7778919807547</v>
      </c>
    </row>
    <row r="288" spans="2:9" s="38" customFormat="1" ht="14.5" outlineLevel="1">
      <c r="B288" s="54">
        <f t="shared" si="32"/>
        <v>268</v>
      </c>
      <c r="C288" s="55">
        <f t="shared" si="33"/>
        <v>143114.95857968627</v>
      </c>
      <c r="D288" s="56">
        <f t="shared" si="29"/>
        <v>180.60997853135063</v>
      </c>
      <c r="E288" s="56">
        <f t="shared" si="30"/>
        <v>1152.1674653362272</v>
      </c>
      <c r="F288" s="57">
        <f t="shared" si="34"/>
        <v>-1553.6342239255969</v>
      </c>
      <c r="G288" s="57">
        <f t="shared" si="28"/>
        <v>-1152.1674653362272</v>
      </c>
      <c r="H288" s="57">
        <f>-C287*Premissas!$C$30</f>
        <v>-86.692789695048305</v>
      </c>
      <c r="I288" s="58">
        <f t="shared" si="31"/>
        <v>-2795.9850970555685</v>
      </c>
    </row>
    <row r="289" spans="2:9" s="38" customFormat="1" ht="14.5" outlineLevel="1">
      <c r="B289" s="54">
        <f t="shared" si="32"/>
        <v>269</v>
      </c>
      <c r="C289" s="55">
        <f t="shared" si="33"/>
        <v>141738.25490204472</v>
      </c>
      <c r="D289" s="56">
        <f t="shared" si="29"/>
        <v>178.89369822460785</v>
      </c>
      <c r="E289" s="56">
        <f t="shared" si="30"/>
        <v>1141.218777191164</v>
      </c>
      <c r="F289" s="57">
        <f t="shared" si="34"/>
        <v>-1555.5973758661551</v>
      </c>
      <c r="G289" s="57">
        <f t="shared" si="28"/>
        <v>-1141.218777191164</v>
      </c>
      <c r="H289" s="57">
        <f>-C288*Premissas!$C$30</f>
        <v>-85.868975147811753</v>
      </c>
      <c r="I289" s="58">
        <f t="shared" si="31"/>
        <v>-2786.163484615387</v>
      </c>
    </row>
    <row r="290" spans="2:9" s="38" customFormat="1" ht="14.5" outlineLevel="1">
      <c r="B290" s="54">
        <f t="shared" si="32"/>
        <v>270</v>
      </c>
      <c r="C290" s="55">
        <f t="shared" si="33"/>
        <v>140357.86447999047</v>
      </c>
      <c r="D290" s="56">
        <f t="shared" si="29"/>
        <v>177.1728186275559</v>
      </c>
      <c r="E290" s="56">
        <f t="shared" si="30"/>
        <v>1130.240748736662</v>
      </c>
      <c r="F290" s="57">
        <f t="shared" si="34"/>
        <v>-1557.5632406818102</v>
      </c>
      <c r="G290" s="57">
        <f t="shared" si="28"/>
        <v>-1130.240748736662</v>
      </c>
      <c r="H290" s="57">
        <f>-C289*Premissas!$C$30</f>
        <v>-85.042952941226829</v>
      </c>
      <c r="I290" s="58">
        <f t="shared" si="31"/>
        <v>-2776.3130010376485</v>
      </c>
    </row>
    <row r="291" spans="2:9" s="38" customFormat="1" ht="14.5" outlineLevel="1">
      <c r="B291" s="54">
        <f t="shared" si="32"/>
        <v>271</v>
      </c>
      <c r="C291" s="55">
        <f t="shared" si="33"/>
        <v>138973.77998303503</v>
      </c>
      <c r="D291" s="56">
        <f t="shared" si="29"/>
        <v>175.44733059998811</v>
      </c>
      <c r="E291" s="56">
        <f t="shared" si="30"/>
        <v>1119.2333216644877</v>
      </c>
      <c r="F291" s="57">
        <f t="shared" si="34"/>
        <v>-1559.5318275554496</v>
      </c>
      <c r="G291" s="57">
        <f t="shared" si="28"/>
        <v>-1119.2333216644877</v>
      </c>
      <c r="H291" s="57">
        <f>-C290*Premissas!$C$30</f>
        <v>-84.214718687994278</v>
      </c>
      <c r="I291" s="58">
        <f t="shared" si="31"/>
        <v>-2766.4335927428165</v>
      </c>
    </row>
    <row r="292" spans="2:9" s="38" customFormat="1" ht="14.5" outlineLevel="1">
      <c r="B292" s="54">
        <f t="shared" si="32"/>
        <v>272</v>
      </c>
      <c r="C292" s="55">
        <f t="shared" si="33"/>
        <v>137585.994062137</v>
      </c>
      <c r="D292" s="56">
        <f t="shared" si="29"/>
        <v>173.71722497879378</v>
      </c>
      <c r="E292" s="56">
        <f t="shared" si="30"/>
        <v>1108.1964375202963</v>
      </c>
      <c r="F292" s="57">
        <f t="shared" si="34"/>
        <v>-1561.503145876798</v>
      </c>
      <c r="G292" s="57">
        <f t="shared" si="28"/>
        <v>-1108.1964375202963</v>
      </c>
      <c r="H292" s="57">
        <f>-C291*Premissas!$C$30</f>
        <v>-83.384267989821012</v>
      </c>
      <c r="I292" s="58">
        <f t="shared" si="31"/>
        <v>-2756.5252062011486</v>
      </c>
    </row>
    <row r="293" spans="2:9" s="38" customFormat="1" ht="14.5" outlineLevel="1">
      <c r="B293" s="54">
        <f t="shared" si="32"/>
        <v>273</v>
      </c>
      <c r="C293" s="55">
        <f t="shared" si="33"/>
        <v>136194.49934946312</v>
      </c>
      <c r="D293" s="56">
        <f t="shared" si="29"/>
        <v>171.98249257767125</v>
      </c>
      <c r="E293" s="56">
        <f t="shared" si="30"/>
        <v>1097.1300377017999</v>
      </c>
      <c r="F293" s="57">
        <f t="shared" si="34"/>
        <v>-1563.4772052515568</v>
      </c>
      <c r="G293" s="57">
        <f t="shared" si="28"/>
        <v>-1097.1300377017999</v>
      </c>
      <c r="H293" s="57">
        <f>-C292*Premissas!$C$30</f>
        <v>-82.5515964372822</v>
      </c>
      <c r="I293" s="58">
        <f t="shared" si="31"/>
        <v>-2746.5877879398772</v>
      </c>
    </row>
    <row r="294" spans="2:9" s="38" customFormat="1" ht="14.5" outlineLevel="1">
      <c r="B294" s="54">
        <f t="shared" si="32"/>
        <v>274</v>
      </c>
      <c r="C294" s="55">
        <f t="shared" si="33"/>
        <v>134799.28845813888</v>
      </c>
      <c r="D294" s="56">
        <f t="shared" si="29"/>
        <v>170.24312418682891</v>
      </c>
      <c r="E294" s="56">
        <f t="shared" si="30"/>
        <v>1086.0340634568613</v>
      </c>
      <c r="F294" s="57">
        <f t="shared" si="34"/>
        <v>-1565.4540155110703</v>
      </c>
      <c r="G294" s="57">
        <f t="shared" si="28"/>
        <v>-1086.0340634568613</v>
      </c>
      <c r="H294" s="57">
        <f>-C293*Premissas!$C$30</f>
        <v>-81.71669960967786</v>
      </c>
      <c r="I294" s="58">
        <f t="shared" si="31"/>
        <v>-2736.6212845508317</v>
      </c>
    </row>
    <row r="295" spans="2:9" s="38" customFormat="1" ht="14.5" outlineLevel="1">
      <c r="B295" s="54">
        <f t="shared" si="32"/>
        <v>275</v>
      </c>
      <c r="C295" s="55">
        <f t="shared" si="33"/>
        <v>133400.35398198903</v>
      </c>
      <c r="D295" s="56">
        <f t="shared" si="29"/>
        <v>168.4991105726736</v>
      </c>
      <c r="E295" s="56">
        <f t="shared" si="30"/>
        <v>1074.9084558815059</v>
      </c>
      <c r="F295" s="57">
        <f t="shared" si="34"/>
        <v>-1567.4335867225452</v>
      </c>
      <c r="G295" s="57">
        <f t="shared" si="28"/>
        <v>-1074.9084558815059</v>
      </c>
      <c r="H295" s="57">
        <f>-C294*Premissas!$C$30</f>
        <v>-80.879573074883325</v>
      </c>
      <c r="I295" s="58">
        <f t="shared" si="31"/>
        <v>-2726.6256426985333</v>
      </c>
    </row>
    <row r="296" spans="2:9" s="38" customFormat="1" ht="14.5" outlineLevel="1">
      <c r="B296" s="54">
        <f t="shared" si="32"/>
        <v>276</v>
      </c>
      <c r="C296" s="55">
        <f t="shared" si="33"/>
        <v>131997.68849526666</v>
      </c>
      <c r="D296" s="56">
        <f t="shared" si="29"/>
        <v>166.7504424774863</v>
      </c>
      <c r="E296" s="56">
        <f t="shared" si="30"/>
        <v>1063.7531559178519</v>
      </c>
      <c r="F296" s="57">
        <f t="shared" si="34"/>
        <v>-1569.415929199871</v>
      </c>
      <c r="G296" s="57">
        <f t="shared" si="28"/>
        <v>-1063.7531559178519</v>
      </c>
      <c r="H296" s="57">
        <f>-C295*Premissas!$C$30</f>
        <v>-80.040212389193414</v>
      </c>
      <c r="I296" s="58">
        <f t="shared" si="31"/>
        <v>-2716.6008091287999</v>
      </c>
    </row>
    <row r="297" spans="2:9" s="38" customFormat="1" ht="14.5" outlineLevel="1">
      <c r="B297" s="54">
        <f t="shared" si="32"/>
        <v>277</v>
      </c>
      <c r="C297" s="55">
        <f t="shared" si="33"/>
        <v>130591.28455237066</v>
      </c>
      <c r="D297" s="56">
        <f t="shared" si="29"/>
        <v>164.99711061908332</v>
      </c>
      <c r="E297" s="56">
        <f t="shared" si="30"/>
        <v>1052.5681043519512</v>
      </c>
      <c r="F297" s="57">
        <f t="shared" si="34"/>
        <v>-1571.4010535150792</v>
      </c>
      <c r="G297" s="57">
        <f t="shared" si="28"/>
        <v>-1052.5681043519512</v>
      </c>
      <c r="H297" s="57">
        <f>-C296*Premissas!$C$30</f>
        <v>-79.198613097159992</v>
      </c>
      <c r="I297" s="58">
        <f t="shared" si="31"/>
        <v>-2706.5467306778955</v>
      </c>
    </row>
    <row r="298" spans="2:9" s="38" customFormat="1" ht="14.5" outlineLevel="1">
      <c r="B298" s="54">
        <f t="shared" si="32"/>
        <v>278</v>
      </c>
      <c r="C298" s="55">
        <f t="shared" si="33"/>
        <v>129181.13468755063</v>
      </c>
      <c r="D298" s="56">
        <f t="shared" si="29"/>
        <v>163.23910569046333</v>
      </c>
      <c r="E298" s="56">
        <f t="shared" si="30"/>
        <v>1041.3532418115346</v>
      </c>
      <c r="F298" s="57">
        <f t="shared" si="34"/>
        <v>-1573.38897051049</v>
      </c>
      <c r="G298" s="57">
        <f t="shared" si="28"/>
        <v>-1041.3532418115346</v>
      </c>
      <c r="H298" s="57">
        <f>-C297*Premissas!$C$30</f>
        <v>-78.354770731422391</v>
      </c>
      <c r="I298" s="58">
        <f t="shared" si="31"/>
        <v>-2696.4633542822639</v>
      </c>
    </row>
    <row r="299" spans="2:9" s="38" customFormat="1" ht="14.5" outlineLevel="1">
      <c r="B299" s="54">
        <f t="shared" si="32"/>
        <v>279</v>
      </c>
      <c r="C299" s="55">
        <f t="shared" si="33"/>
        <v>127767.23141459847</v>
      </c>
      <c r="D299" s="56">
        <f t="shared" si="29"/>
        <v>161.4764183594383</v>
      </c>
      <c r="E299" s="56">
        <f t="shared" si="30"/>
        <v>1030.10850876366</v>
      </c>
      <c r="F299" s="57">
        <f t="shared" si="34"/>
        <v>-1575.379691311593</v>
      </c>
      <c r="G299" s="57">
        <f t="shared" si="28"/>
        <v>-1030.10850876366</v>
      </c>
      <c r="H299" s="57">
        <f>-C298*Premissas!$C$30</f>
        <v>-77.508680812530372</v>
      </c>
      <c r="I299" s="58">
        <f t="shared" si="31"/>
        <v>-2686.3506269888931</v>
      </c>
    </row>
    <row r="300" spans="2:9" s="38" customFormat="1" ht="14.5" outlineLevel="1">
      <c r="B300" s="54">
        <f t="shared" si="32"/>
        <v>280</v>
      </c>
      <c r="C300" s="55">
        <f t="shared" si="33"/>
        <v>126349.56722652599</v>
      </c>
      <c r="D300" s="56">
        <f t="shared" si="29"/>
        <v>159.70903926824809</v>
      </c>
      <c r="E300" s="56">
        <f t="shared" si="30"/>
        <v>1018.8338455122528</v>
      </c>
      <c r="F300" s="57">
        <f t="shared" si="34"/>
        <v>-1577.3732273407218</v>
      </c>
      <c r="G300" s="57">
        <f t="shared" si="28"/>
        <v>-1018.8338455122528</v>
      </c>
      <c r="H300" s="57">
        <f>-C299*Premissas!$C$30</f>
        <v>-76.660338848759082</v>
      </c>
      <c r="I300" s="58">
        <f t="shared" si="31"/>
        <v>-2676.2084959663607</v>
      </c>
    </row>
    <row r="301" spans="2:9" s="38" customFormat="1" ht="14.5" outlineLevel="1">
      <c r="B301" s="54">
        <f t="shared" si="32"/>
        <v>281</v>
      </c>
      <c r="C301" s="55">
        <f t="shared" si="33"/>
        <v>124928.13459522757</v>
      </c>
      <c r="D301" s="56">
        <f t="shared" si="29"/>
        <v>157.93695903315751</v>
      </c>
      <c r="E301" s="56">
        <f t="shared" si="30"/>
        <v>1007.529192195535</v>
      </c>
      <c r="F301" s="57">
        <f t="shared" si="34"/>
        <v>-1579.369590331575</v>
      </c>
      <c r="G301" s="57">
        <f t="shared" si="28"/>
        <v>-1007.529192195535</v>
      </c>
      <c r="H301" s="57">
        <f>-C300*Premissas!$C$30</f>
        <v>-75.809740335915592</v>
      </c>
      <c r="I301" s="58">
        <f t="shared" si="31"/>
        <v>-2666.0369085166039</v>
      </c>
    </row>
    <row r="302" spans="2:9" s="38" customFormat="1" ht="14.5" outlineLevel="1">
      <c r="B302" s="54">
        <f t="shared" si="32"/>
        <v>282</v>
      </c>
      <c r="C302" s="55">
        <f t="shared" si="33"/>
        <v>123502.92597112696</v>
      </c>
      <c r="D302" s="56">
        <f t="shared" si="29"/>
        <v>156.16016824403448</v>
      </c>
      <c r="E302" s="56">
        <f t="shared" si="30"/>
        <v>996.19448878333515</v>
      </c>
      <c r="F302" s="57">
        <f t="shared" si="34"/>
        <v>-1581.3687923446528</v>
      </c>
      <c r="G302" s="57">
        <f t="shared" si="28"/>
        <v>-996.19448878333515</v>
      </c>
      <c r="H302" s="57">
        <f>-C301*Premissas!$C$30</f>
        <v>-74.956880757136531</v>
      </c>
      <c r="I302" s="58">
        <f t="shared" si="31"/>
        <v>-2655.8358120874805</v>
      </c>
    </row>
    <row r="303" spans="2:9" s="38" customFormat="1" ht="14.5" outlineLevel="1">
      <c r="B303" s="54">
        <f t="shared" si="32"/>
        <v>283</v>
      </c>
      <c r="C303" s="55">
        <f t="shared" si="33"/>
        <v>122073.93378280719</v>
      </c>
      <c r="D303" s="56">
        <f t="shared" si="29"/>
        <v>154.3786574639087</v>
      </c>
      <c r="E303" s="56">
        <f t="shared" si="30"/>
        <v>984.82967507427213</v>
      </c>
      <c r="F303" s="57">
        <f t="shared" si="34"/>
        <v>-1583.370845783679</v>
      </c>
      <c r="G303" s="57">
        <f t="shared" si="28"/>
        <v>-984.82967507427213</v>
      </c>
      <c r="H303" s="57">
        <f>-C302*Premissas!$C$30</f>
        <v>-74.101755582676162</v>
      </c>
      <c r="I303" s="58">
        <f t="shared" si="31"/>
        <v>-2645.6051542861783</v>
      </c>
    </row>
    <row r="304" spans="2:9" s="38" customFormat="1" ht="14.5" outlineLevel="1">
      <c r="B304" s="54">
        <f t="shared" si="32"/>
        <v>284</v>
      </c>
      <c r="C304" s="55">
        <f t="shared" si="33"/>
        <v>120641.15043662263</v>
      </c>
      <c r="D304" s="56">
        <f t="shared" si="29"/>
        <v>152.59241722850899</v>
      </c>
      <c r="E304" s="56">
        <f t="shared" si="30"/>
        <v>973.43469069280388</v>
      </c>
      <c r="F304" s="57">
        <f t="shared" si="34"/>
        <v>-1585.3757634130804</v>
      </c>
      <c r="G304" s="57">
        <f t="shared" si="28"/>
        <v>-973.43469069280388</v>
      </c>
      <c r="H304" s="57">
        <f>-C303*Premissas!$C$30</f>
        <v>-73.244360269684307</v>
      </c>
      <c r="I304" s="58">
        <f t="shared" si="31"/>
        <v>-2635.3448828935379</v>
      </c>
    </row>
    <row r="305" spans="2:9" s="38" customFormat="1" ht="14.5" outlineLevel="1">
      <c r="B305" s="54">
        <f t="shared" si="32"/>
        <v>285</v>
      </c>
      <c r="C305" s="55">
        <f t="shared" si="33"/>
        <v>119204.56831629178</v>
      </c>
      <c r="D305" s="56">
        <f t="shared" si="29"/>
        <v>150.8014380457783</v>
      </c>
      <c r="E305" s="56">
        <f t="shared" si="30"/>
        <v>962.00947508613353</v>
      </c>
      <c r="F305" s="57">
        <f t="shared" si="34"/>
        <v>-1587.3835583766136</v>
      </c>
      <c r="G305" s="57">
        <f t="shared" si="28"/>
        <v>-962.00947508613353</v>
      </c>
      <c r="H305" s="57">
        <f>-C304*Premissas!$C$30</f>
        <v>-72.384690261973574</v>
      </c>
      <c r="I305" s="58">
        <f t="shared" si="31"/>
        <v>-2625.0549458793762</v>
      </c>
    </row>
    <row r="306" spans="2:9" s="38" customFormat="1" ht="14.5" outlineLevel="1">
      <c r="B306" s="54">
        <f t="shared" si="32"/>
        <v>286</v>
      </c>
      <c r="C306" s="55">
        <f t="shared" si="33"/>
        <v>117764.17978246992</v>
      </c>
      <c r="D306" s="56">
        <f t="shared" si="29"/>
        <v>149.00571039536473</v>
      </c>
      <c r="E306" s="56">
        <f t="shared" si="30"/>
        <v>950.55396752096306</v>
      </c>
      <c r="F306" s="57">
        <f t="shared" si="34"/>
        <v>-1589.3942442172238</v>
      </c>
      <c r="G306" s="57">
        <f t="shared" si="28"/>
        <v>-950.55396752096306</v>
      </c>
      <c r="H306" s="57">
        <f>-C305*Premissas!$C$30</f>
        <v>-71.522740989775059</v>
      </c>
      <c r="I306" s="58">
        <f t="shared" si="31"/>
        <v>-2614.7352914188718</v>
      </c>
    </row>
    <row r="307" spans="2:9" s="38" customFormat="1" ht="14.5" outlineLevel="1">
      <c r="B307" s="54">
        <f t="shared" si="32"/>
        <v>287</v>
      </c>
      <c r="C307" s="55">
        <f t="shared" si="33"/>
        <v>116319.97717229975</v>
      </c>
      <c r="D307" s="56">
        <f t="shared" si="29"/>
        <v>147.20522472808739</v>
      </c>
      <c r="E307" s="56">
        <f t="shared" si="30"/>
        <v>939.0681070800847</v>
      </c>
      <c r="F307" s="57">
        <f t="shared" si="34"/>
        <v>-1591.4078348982421</v>
      </c>
      <c r="G307" s="57">
        <f t="shared" si="28"/>
        <v>-939.0681070800847</v>
      </c>
      <c r="H307" s="57">
        <f>-C306*Premissas!$C$30</f>
        <v>-70.658507869481937</v>
      </c>
      <c r="I307" s="58">
        <f t="shared" si="31"/>
        <v>-2604.3858679101186</v>
      </c>
    </row>
    <row r="308" spans="2:9" s="38" customFormat="1" ht="14.5" outlineLevel="1">
      <c r="B308" s="54">
        <f t="shared" si="32"/>
        <v>288</v>
      </c>
      <c r="C308" s="55">
        <f t="shared" si="33"/>
        <v>114871.95279893911</v>
      </c>
      <c r="D308" s="56">
        <f t="shared" si="29"/>
        <v>145.3999714653747</v>
      </c>
      <c r="E308" s="56">
        <f t="shared" si="30"/>
        <v>927.55183265879839</v>
      </c>
      <c r="F308" s="57">
        <f t="shared" si="34"/>
        <v>-1593.424344826024</v>
      </c>
      <c r="G308" s="57">
        <f t="shared" si="28"/>
        <v>-927.55183265879839</v>
      </c>
      <c r="H308" s="57">
        <f>-C307*Premissas!$C$30</f>
        <v>-69.791986303379844</v>
      </c>
      <c r="I308" s="58">
        <f t="shared" si="31"/>
        <v>-2594.0066239929374</v>
      </c>
    </row>
    <row r="309" spans="2:9" s="38" customFormat="1" ht="14.5" outlineLevel="1">
      <c r="B309" s="54">
        <f t="shared" si="32"/>
        <v>289</v>
      </c>
      <c r="C309" s="55">
        <f t="shared" si="33"/>
        <v>113420.09895106363</v>
      </c>
      <c r="D309" s="56">
        <f t="shared" si="29"/>
        <v>143.58994099867388</v>
      </c>
      <c r="E309" s="56">
        <f t="shared" si="30"/>
        <v>916.00508296114526</v>
      </c>
      <c r="F309" s="57">
        <f t="shared" si="34"/>
        <v>-1595.4437888741543</v>
      </c>
      <c r="G309" s="57">
        <f t="shared" si="28"/>
        <v>-916.00508296114526</v>
      </c>
      <c r="H309" s="57">
        <f>-C308*Premissas!$C$30</f>
        <v>-68.923171679363463</v>
      </c>
      <c r="I309" s="58">
        <f t="shared" si="31"/>
        <v>-2583.5975085690561</v>
      </c>
    </row>
    <row r="310" spans="2:9" s="38" customFormat="1" ht="14.5" outlineLevel="1">
      <c r="B310" s="54">
        <f t="shared" si="32"/>
        <v>290</v>
      </c>
      <c r="C310" s="55">
        <f t="shared" si="33"/>
        <v>111964.40789234311</v>
      </c>
      <c r="D310" s="56">
        <f t="shared" si="29"/>
        <v>141.77512368882955</v>
      </c>
      <c r="E310" s="56">
        <f t="shared" si="30"/>
        <v>904.42779649594195</v>
      </c>
      <c r="F310" s="57">
        <f t="shared" si="34"/>
        <v>-1597.4661824093469</v>
      </c>
      <c r="G310" s="57">
        <f t="shared" si="28"/>
        <v>-904.42779649594195</v>
      </c>
      <c r="H310" s="57">
        <f>-C309*Premissas!$C$30</f>
        <v>-68.052059370638176</v>
      </c>
      <c r="I310" s="58">
        <f t="shared" si="31"/>
        <v>-2573.1584708237719</v>
      </c>
    </row>
    <row r="311" spans="2:9" s="38" customFormat="1" ht="14.5" outlineLevel="1">
      <c r="B311" s="54">
        <f t="shared" si="32"/>
        <v>291</v>
      </c>
      <c r="C311" s="55">
        <f t="shared" si="33"/>
        <v>110504.87186088934</v>
      </c>
      <c r="D311" s="56">
        <f t="shared" si="29"/>
        <v>139.95550986542889</v>
      </c>
      <c r="E311" s="56">
        <f t="shared" si="30"/>
        <v>892.81991157260484</v>
      </c>
      <c r="F311" s="57">
        <f t="shared" si="34"/>
        <v>-1599.4915413191873</v>
      </c>
      <c r="G311" s="57">
        <f t="shared" si="28"/>
        <v>-892.81991157260484</v>
      </c>
      <c r="H311" s="57">
        <f>-C310*Premissas!$C$30</f>
        <v>-67.178644735405854</v>
      </c>
      <c r="I311" s="58">
        <f t="shared" si="31"/>
        <v>-2562.6894602492316</v>
      </c>
    </row>
    <row r="312" spans="2:9" s="38" customFormat="1" ht="14.5" outlineLevel="1">
      <c r="B312" s="54">
        <f t="shared" si="32"/>
        <v>292</v>
      </c>
      <c r="C312" s="55">
        <f t="shared" si="33"/>
        <v>109041.48306867358</v>
      </c>
      <c r="D312" s="56">
        <f t="shared" si="29"/>
        <v>138.13108982611169</v>
      </c>
      <c r="E312" s="56">
        <f t="shared" si="30"/>
        <v>881.18136629674768</v>
      </c>
      <c r="F312" s="57">
        <f t="shared" si="34"/>
        <v>-1601.5198820418746</v>
      </c>
      <c r="G312" s="57">
        <f t="shared" si="28"/>
        <v>-881.18136629674768</v>
      </c>
      <c r="H312" s="57">
        <f>-C311*Premissas!$C$30</f>
        <v>-66.302923116533591</v>
      </c>
      <c r="I312" s="58">
        <f t="shared" si="31"/>
        <v>-2552.1904266694751</v>
      </c>
    </row>
    <row r="313" spans="2:9" s="38" customFormat="1" ht="14.5" outlineLevel="1">
      <c r="B313" s="54">
        <f t="shared" si="32"/>
        <v>293</v>
      </c>
      <c r="C313" s="55">
        <f t="shared" si="33"/>
        <v>107574.23370091128</v>
      </c>
      <c r="D313" s="56">
        <f t="shared" si="29"/>
        <v>136.30185383584197</v>
      </c>
      <c r="E313" s="56">
        <f t="shared" si="30"/>
        <v>869.51209856553533</v>
      </c>
      <c r="F313" s="57">
        <f t="shared" si="34"/>
        <v>-1603.551221598141</v>
      </c>
      <c r="G313" s="57">
        <f t="shared" si="28"/>
        <v>-869.51209856553533</v>
      </c>
      <c r="H313" s="57">
        <f>-C312*Premissas!$C$30</f>
        <v>-65.424889841204148</v>
      </c>
      <c r="I313" s="58">
        <f t="shared" si="31"/>
        <v>-2541.6613202673866</v>
      </c>
    </row>
    <row r="314" spans="2:9" s="38" customFormat="1" ht="14.5" outlineLevel="1">
      <c r="B314" s="54">
        <f t="shared" si="32"/>
        <v>294</v>
      </c>
      <c r="C314" s="55">
        <f t="shared" si="33"/>
        <v>106103.11591541188</v>
      </c>
      <c r="D314" s="56">
        <f t="shared" si="29"/>
        <v>134.4677921261391</v>
      </c>
      <c r="E314" s="56">
        <f t="shared" si="30"/>
        <v>857.81204606277845</v>
      </c>
      <c r="F314" s="57">
        <f t="shared" si="34"/>
        <v>-1605.5855776255414</v>
      </c>
      <c r="G314" s="57">
        <f t="shared" si="28"/>
        <v>-857.81204606277845</v>
      </c>
      <c r="H314" s="57">
        <f>-C313*Premissas!$C$30</f>
        <v>-64.544540220546764</v>
      </c>
      <c r="I314" s="58">
        <f t="shared" si="31"/>
        <v>-2531.1020916137527</v>
      </c>
    </row>
    <row r="315" spans="2:9" s="38" customFormat="1" ht="14.5" outlineLevel="1">
      <c r="B315" s="54">
        <f t="shared" si="32"/>
        <v>295</v>
      </c>
      <c r="C315" s="55">
        <f t="shared" si="33"/>
        <v>104628.12184189081</v>
      </c>
      <c r="D315" s="56">
        <f t="shared" si="29"/>
        <v>132.62889489426485</v>
      </c>
      <c r="E315" s="56">
        <f t="shared" si="30"/>
        <v>846.08114625374833</v>
      </c>
      <c r="F315" s="57">
        <f t="shared" si="34"/>
        <v>-1607.6229684153316</v>
      </c>
      <c r="G315" s="57">
        <f t="shared" si="28"/>
        <v>-846.08114625374833</v>
      </c>
      <c r="H315" s="57">
        <f>-C314*Premissas!$C$30</f>
        <v>-63.661869549247122</v>
      </c>
      <c r="I315" s="58">
        <f t="shared" si="31"/>
        <v>-2520.5126916985996</v>
      </c>
    </row>
    <row r="316" spans="2:9" s="38" customFormat="1" ht="14.5" outlineLevel="1">
      <c r="B316" s="54">
        <f t="shared" si="32"/>
        <v>296</v>
      </c>
      <c r="C316" s="55">
        <f t="shared" si="33"/>
        <v>103149.243581241</v>
      </c>
      <c r="D316" s="56">
        <f t="shared" si="29"/>
        <v>130.78515230236351</v>
      </c>
      <c r="E316" s="56">
        <f t="shared" si="30"/>
        <v>834.31933637969053</v>
      </c>
      <c r="F316" s="57">
        <f t="shared" si="34"/>
        <v>-1609.6634129521663</v>
      </c>
      <c r="G316" s="57">
        <f t="shared" si="28"/>
        <v>-834.31933637969053</v>
      </c>
      <c r="H316" s="57">
        <f>-C315*Premissas!$C$30</f>
        <v>-62.776873105134477</v>
      </c>
      <c r="I316" s="58">
        <f t="shared" si="31"/>
        <v>-2509.8930719650375</v>
      </c>
    </row>
    <row r="317" spans="2:9" s="38" customFormat="1" ht="14.5" outlineLevel="1">
      <c r="B317" s="54">
        <f t="shared" si="32"/>
        <v>297</v>
      </c>
      <c r="C317" s="55">
        <f t="shared" si="33"/>
        <v>101666.47320476065</v>
      </c>
      <c r="D317" s="56">
        <f t="shared" si="29"/>
        <v>128.93655447655124</v>
      </c>
      <c r="E317" s="56">
        <f t="shared" si="30"/>
        <v>822.52655345201595</v>
      </c>
      <c r="F317" s="57">
        <f t="shared" si="34"/>
        <v>-1611.7069309568906</v>
      </c>
      <c r="G317" s="57">
        <f t="shared" si="28"/>
        <v>-822.52655345201595</v>
      </c>
      <c r="H317" s="57">
        <f>-C316*Premissas!$C$30</f>
        <v>-61.889546148744593</v>
      </c>
      <c r="I317" s="58">
        <f t="shared" si="31"/>
        <v>-2499.243184345848</v>
      </c>
    </row>
    <row r="318" spans="2:9" s="38" customFormat="1" ht="14.5" outlineLevel="1">
      <c r="B318" s="54">
        <f t="shared" si="32"/>
        <v>298</v>
      </c>
      <c r="C318" s="55">
        <f t="shared" si="33"/>
        <v>100179.80275333389</v>
      </c>
      <c r="D318" s="56">
        <f t="shared" si="29"/>
        <v>127.08309150595082</v>
      </c>
      <c r="E318" s="56">
        <f t="shared" si="30"/>
        <v>810.70273424614322</v>
      </c>
      <c r="F318" s="57">
        <f t="shared" si="34"/>
        <v>-1613.7535429327088</v>
      </c>
      <c r="G318" s="57">
        <f t="shared" si="28"/>
        <v>-810.70273424614322</v>
      </c>
      <c r="H318" s="57">
        <f>-C317*Premissas!$C$30</f>
        <v>-60.999883922856384</v>
      </c>
      <c r="I318" s="58">
        <f t="shared" si="31"/>
        <v>-2488.5629813030855</v>
      </c>
    </row>
    <row r="319" spans="2:9" s="38" customFormat="1" ht="14.5" outlineLevel="1">
      <c r="B319" s="54">
        <f t="shared" si="32"/>
        <v>299</v>
      </c>
      <c r="C319" s="55">
        <f t="shared" si="33"/>
        <v>98689.224236560491</v>
      </c>
      <c r="D319" s="56">
        <f t="shared" si="29"/>
        <v>125.22475344166736</v>
      </c>
      <c r="E319" s="56">
        <f t="shared" si="30"/>
        <v>798.84781529496445</v>
      </c>
      <c r="F319" s="57">
        <f t="shared" si="34"/>
        <v>-1615.8032702150626</v>
      </c>
      <c r="G319" s="57">
        <f t="shared" si="28"/>
        <v>-798.84781529496445</v>
      </c>
      <c r="H319" s="57">
        <f>-C318*Premissas!$C$30</f>
        <v>-60.10788165200033</v>
      </c>
      <c r="I319" s="58">
        <f t="shared" si="31"/>
        <v>-2477.8524158709797</v>
      </c>
    </row>
    <row r="320" spans="2:9" s="38" customFormat="1" ht="14.5" outlineLevel="1">
      <c r="B320" s="54">
        <f t="shared" si="32"/>
        <v>300</v>
      </c>
      <c r="C320" s="55">
        <f t="shared" si="33"/>
        <v>97194.729631830618</v>
      </c>
      <c r="D320" s="56">
        <f t="shared" si="29"/>
        <v>123.36153029570062</v>
      </c>
      <c r="E320" s="56">
        <f t="shared" si="30"/>
        <v>786.96173288190619</v>
      </c>
      <c r="F320" s="57">
        <f t="shared" si="34"/>
        <v>-1617.8561350255818</v>
      </c>
      <c r="G320" s="57">
        <f t="shared" si="28"/>
        <v>-786.96173288190619</v>
      </c>
      <c r="H320" s="57">
        <f>-C319*Premissas!$C$30</f>
        <v>-59.213534541936291</v>
      </c>
      <c r="I320" s="58">
        <f t="shared" si="31"/>
        <v>-2467.1114417024864</v>
      </c>
    </row>
    <row r="321" spans="2:9" s="38" customFormat="1" ht="14.5" outlineLevel="1">
      <c r="B321" s="54">
        <f t="shared" si="32"/>
        <v>301</v>
      </c>
      <c r="C321" s="55">
        <f t="shared" si="33"/>
        <v>95696.310883339887</v>
      </c>
      <c r="D321" s="56">
        <f t="shared" si="29"/>
        <v>121.49341203978827</v>
      </c>
      <c r="E321" s="56">
        <f t="shared" si="30"/>
        <v>775.0444230335512</v>
      </c>
      <c r="F321" s="57">
        <f t="shared" si="34"/>
        <v>-1619.9121605305104</v>
      </c>
      <c r="G321" s="57">
        <f t="shared" si="28"/>
        <v>-775.0444230335512</v>
      </c>
      <c r="H321" s="57">
        <f>-C320*Premissas!$C$30</f>
        <v>-58.316837779098364</v>
      </c>
      <c r="I321" s="58">
        <f t="shared" si="31"/>
        <v>-2456.3400131198387</v>
      </c>
    </row>
    <row r="322" spans="2:9" s="38" customFormat="1" ht="14.5" outlineLevel="1">
      <c r="B322" s="54">
        <f t="shared" si="32"/>
        <v>302</v>
      </c>
      <c r="C322" s="55">
        <f t="shared" si="33"/>
        <v>94193.959901039998</v>
      </c>
      <c r="D322" s="56">
        <f t="shared" si="29"/>
        <v>119.62038860417486</v>
      </c>
      <c r="E322" s="56">
        <f t="shared" si="30"/>
        <v>763.09582151178392</v>
      </c>
      <c r="F322" s="57">
        <f t="shared" si="34"/>
        <v>-1621.9713709040659</v>
      </c>
      <c r="G322" s="57">
        <f t="shared" si="28"/>
        <v>-763.09582151178392</v>
      </c>
      <c r="H322" s="57">
        <f>-C321*Premissas!$C$30</f>
        <v>-57.41778653000393</v>
      </c>
      <c r="I322" s="58">
        <f t="shared" si="31"/>
        <v>-2445.5380851695359</v>
      </c>
    </row>
    <row r="323" spans="2:9" s="38" customFormat="1" ht="14.5" outlineLevel="1">
      <c r="B323" s="54">
        <f t="shared" si="32"/>
        <v>303</v>
      </c>
      <c r="C323" s="55">
        <f t="shared" si="33"/>
        <v>92687.66855951905</v>
      </c>
      <c r="D323" s="56">
        <f t="shared" si="29"/>
        <v>117.7424498763</v>
      </c>
      <c r="E323" s="56">
        <f t="shared" si="30"/>
        <v>751.11586380542303</v>
      </c>
      <c r="F323" s="57">
        <f t="shared" si="34"/>
        <v>-1624.0337913972414</v>
      </c>
      <c r="G323" s="57">
        <f t="shared" si="28"/>
        <v>-751.11586380542303</v>
      </c>
      <c r="H323" s="57">
        <f>-C322*Premissas!$C$30</f>
        <v>-56.516375940623995</v>
      </c>
      <c r="I323" s="58">
        <f t="shared" si="31"/>
        <v>-2434.705613682218</v>
      </c>
    </row>
    <row r="324" spans="2:9" s="38" customFormat="1" ht="14.5" outlineLevel="1">
      <c r="B324" s="54">
        <f t="shared" si="32"/>
        <v>304</v>
      </c>
      <c r="C324" s="55">
        <f t="shared" si="33"/>
        <v>91177.42869680583</v>
      </c>
      <c r="D324" s="56">
        <f t="shared" si="29"/>
        <v>115.85958569939882</v>
      </c>
      <c r="E324" s="56">
        <f t="shared" si="30"/>
        <v>739.10448512129324</v>
      </c>
      <c r="F324" s="57">
        <f t="shared" si="34"/>
        <v>-1626.0994484126149</v>
      </c>
      <c r="G324" s="57">
        <f t="shared" si="28"/>
        <v>-739.10448512129324</v>
      </c>
      <c r="H324" s="57">
        <f>-C323*Premissas!$C$30</f>
        <v>-55.612601135711422</v>
      </c>
      <c r="I324" s="58">
        <f t="shared" si="31"/>
        <v>-2423.8425553379566</v>
      </c>
    </row>
    <row r="325" spans="2:9" s="38" customFormat="1" ht="14.5" outlineLevel="1">
      <c r="B325" s="54">
        <f t="shared" si="32"/>
        <v>305</v>
      </c>
      <c r="C325" s="55">
        <f t="shared" si="33"/>
        <v>89663.232113091013</v>
      </c>
      <c r="D325" s="56">
        <f t="shared" si="29"/>
        <v>113.97178587100728</v>
      </c>
      <c r="E325" s="56">
        <f t="shared" si="30"/>
        <v>727.0616203746896</v>
      </c>
      <c r="F325" s="57">
        <f t="shared" si="34"/>
        <v>-1628.1683695858185</v>
      </c>
      <c r="G325" s="57">
        <f t="shared" si="28"/>
        <v>-727.0616203746896</v>
      </c>
      <c r="H325" s="57">
        <f>-C324*Premissas!$C$30</f>
        <v>-54.706457218083493</v>
      </c>
      <c r="I325" s="58">
        <f t="shared" si="31"/>
        <v>-2412.9488677375648</v>
      </c>
    </row>
    <row r="326" spans="2:9" s="38" customFormat="1" ht="14.5" outlineLevel="1">
      <c r="B326" s="54">
        <f t="shared" si="32"/>
        <v>306</v>
      </c>
      <c r="C326" s="55">
        <f t="shared" si="33"/>
        <v>88145.070569357995</v>
      </c>
      <c r="D326" s="56">
        <f t="shared" si="29"/>
        <v>112.07904014136376</v>
      </c>
      <c r="E326" s="56">
        <f t="shared" si="30"/>
        <v>714.98720417918139</v>
      </c>
      <c r="F326" s="57">
        <f t="shared" si="34"/>
        <v>-1630.2405838743821</v>
      </c>
      <c r="G326" s="57">
        <f t="shared" si="28"/>
        <v>-714.98720417918139</v>
      </c>
      <c r="H326" s="57">
        <f>-C325*Premissas!$C$30</f>
        <v>-53.797939267854602</v>
      </c>
      <c r="I326" s="58">
        <f t="shared" si="31"/>
        <v>-2402.0245094805696</v>
      </c>
    </row>
    <row r="327" spans="2:9" s="38" customFormat="1" ht="14.5" outlineLevel="1">
      <c r="B327" s="54">
        <f t="shared" si="32"/>
        <v>307</v>
      </c>
      <c r="C327" s="55">
        <f t="shared" si="33"/>
        <v>86622.935785914917</v>
      </c>
      <c r="D327" s="56">
        <f t="shared" si="29"/>
        <v>110.18133821169749</v>
      </c>
      <c r="E327" s="56">
        <f t="shared" si="30"/>
        <v>702.88117083569296</v>
      </c>
      <c r="F327" s="57">
        <f t="shared" si="34"/>
        <v>-1632.3161216547776</v>
      </c>
      <c r="G327" s="57">
        <f t="shared" si="28"/>
        <v>-702.88117083569296</v>
      </c>
      <c r="H327" s="57">
        <f>-C326*Premissas!$C$30</f>
        <v>-52.887042341614794</v>
      </c>
      <c r="I327" s="58">
        <f t="shared" si="31"/>
        <v>-2391.0694402506251</v>
      </c>
    </row>
    <row r="328" spans="2:9" s="38" customFormat="1" ht="14.5" outlineLevel="1">
      <c r="B328" s="54">
        <f t="shared" si="32"/>
        <v>308</v>
      </c>
      <c r="C328" s="55">
        <f t="shared" si="33"/>
        <v>85096.819440818726</v>
      </c>
      <c r="D328" s="56">
        <f t="shared" si="29"/>
        <v>108.27866973239365</v>
      </c>
      <c r="E328" s="56">
        <f t="shared" si="30"/>
        <v>690.74345432079883</v>
      </c>
      <c r="F328" s="57">
        <f t="shared" si="34"/>
        <v>-1634.3950148285833</v>
      </c>
      <c r="G328" s="57">
        <f t="shared" si="28"/>
        <v>-690.74345432079883</v>
      </c>
      <c r="H328" s="57">
        <f>-C327*Premissas!$C$30</f>
        <v>-51.973761471548947</v>
      </c>
      <c r="I328" s="58">
        <f t="shared" si="31"/>
        <v>-2380.0836209092076</v>
      </c>
    </row>
    <row r="329" spans="2:9" s="38" customFormat="1" ht="14.5" outlineLevel="1">
      <c r="B329" s="54">
        <f t="shared" si="32"/>
        <v>309</v>
      </c>
      <c r="C329" s="55">
        <f t="shared" si="33"/>
        <v>83566.713168180926</v>
      </c>
      <c r="D329" s="56">
        <f t="shared" si="29"/>
        <v>106.37102430102341</v>
      </c>
      <c r="E329" s="56">
        <f t="shared" si="30"/>
        <v>678.57398827415648</v>
      </c>
      <c r="F329" s="57">
        <f t="shared" si="34"/>
        <v>-1636.4772969388216</v>
      </c>
      <c r="G329" s="57">
        <f t="shared" si="28"/>
        <v>-678.57398827415648</v>
      </c>
      <c r="H329" s="57">
        <f>-C328*Premissas!$C$30</f>
        <v>-51.058091664491229</v>
      </c>
      <c r="I329" s="58">
        <f t="shared" si="31"/>
        <v>-2369.0670135985661</v>
      </c>
    </row>
    <row r="330" spans="2:9" s="38" customFormat="1" ht="14.5" outlineLevel="1">
      <c r="B330" s="54">
        <f t="shared" si="32"/>
        <v>310</v>
      </c>
      <c r="C330" s="55">
        <f t="shared" si="33"/>
        <v>82032.60855634349</v>
      </c>
      <c r="D330" s="56">
        <f t="shared" si="29"/>
        <v>104.45839146022615</v>
      </c>
      <c r="E330" s="56">
        <f t="shared" si="30"/>
        <v>666.37270598499606</v>
      </c>
      <c r="F330" s="57">
        <f t="shared" si="34"/>
        <v>-1638.5630032976653</v>
      </c>
      <c r="G330" s="57">
        <f t="shared" si="28"/>
        <v>-666.37270598499606</v>
      </c>
      <c r="H330" s="57">
        <f>-C329*Premissas!$C$30</f>
        <v>-50.140027900908549</v>
      </c>
      <c r="I330" s="58">
        <f t="shared" si="31"/>
        <v>-2358.0195818550492</v>
      </c>
    </row>
    <row r="331" spans="2:9" s="38" customFormat="1" ht="14.5" outlineLevel="1">
      <c r="B331" s="54">
        <f t="shared" si="32"/>
        <v>311</v>
      </c>
      <c r="C331" s="55">
        <f t="shared" si="33"/>
        <v>80494.497145912042</v>
      </c>
      <c r="D331" s="56">
        <f t="shared" si="29"/>
        <v>102.54076069542937</v>
      </c>
      <c r="E331" s="56">
        <f t="shared" si="30"/>
        <v>654.13954037757549</v>
      </c>
      <c r="F331" s="57">
        <f t="shared" si="34"/>
        <v>-1640.6521711268697</v>
      </c>
      <c r="G331" s="57">
        <f t="shared" si="28"/>
        <v>-654.13954037757549</v>
      </c>
      <c r="H331" s="57">
        <f>-C330*Premissas!$C$30</f>
        <v>-49.219565133806093</v>
      </c>
      <c r="I331" s="58">
        <f t="shared" si="31"/>
        <v>-2346.9412907340488</v>
      </c>
    </row>
    <row r="332" spans="2:9" s="38" customFormat="1" ht="14.5" outlineLevel="1">
      <c r="B332" s="54">
        <f t="shared" si="32"/>
        <v>312</v>
      </c>
      <c r="C332" s="55">
        <f t="shared" si="33"/>
        <v>78952.370427631933</v>
      </c>
      <c r="D332" s="56">
        <f t="shared" si="29"/>
        <v>100.61812143239005</v>
      </c>
      <c r="E332" s="56">
        <f t="shared" si="30"/>
        <v>641.87442399549593</v>
      </c>
      <c r="F332" s="57">
        <f t="shared" si="34"/>
        <v>-1642.7448397124906</v>
      </c>
      <c r="G332" s="57">
        <f t="shared" si="28"/>
        <v>-641.87442399549593</v>
      </c>
      <c r="H332" s="57">
        <f>-C331*Premissas!$C$30</f>
        <v>-48.296698287547223</v>
      </c>
      <c r="I332" s="58">
        <f t="shared" si="31"/>
        <v>-2335.8321069480285</v>
      </c>
    </row>
    <row r="333" spans="2:9" s="38" customFormat="1" ht="14.5" outlineLevel="1">
      <c r="B333" s="54">
        <f t="shared" si="32"/>
        <v>313</v>
      </c>
      <c r="C333" s="55">
        <f t="shared" si="33"/>
        <v>77406.219840090809</v>
      </c>
      <c r="D333" s="56">
        <f t="shared" si="29"/>
        <v>98.690463034539917</v>
      </c>
      <c r="E333" s="56">
        <f t="shared" si="30"/>
        <v>629.5772889847658</v>
      </c>
      <c r="F333" s="57">
        <f t="shared" si="34"/>
        <v>-1644.8410505756653</v>
      </c>
      <c r="G333" s="57">
        <f t="shared" si="28"/>
        <v>-629.5772889847658</v>
      </c>
      <c r="H333" s="57">
        <f>-C332*Premissas!$C$30</f>
        <v>-47.371422256579159</v>
      </c>
      <c r="I333" s="58">
        <f t="shared" si="31"/>
        <v>-2324.6919990192819</v>
      </c>
    </row>
    <row r="334" spans="2:9" s="38" customFormat="1" ht="14.5" outlineLevel="1">
      <c r="B334" s="54">
        <f t="shared" si="32"/>
        <v>314</v>
      </c>
      <c r="C334" s="55">
        <f t="shared" si="33"/>
        <v>75856.036767229423</v>
      </c>
      <c r="D334" s="56">
        <f t="shared" si="29"/>
        <v>96.757774800113509</v>
      </c>
      <c r="E334" s="56">
        <f t="shared" si="30"/>
        <v>617.24806707548078</v>
      </c>
      <c r="F334" s="57">
        <f t="shared" si="34"/>
        <v>-1646.9408476615065</v>
      </c>
      <c r="G334" s="57">
        <f t="shared" si="28"/>
        <v>-617.24806707548078</v>
      </c>
      <c r="H334" s="57">
        <f>-C333*Premissas!$C$30</f>
        <v>-46.443731904054481</v>
      </c>
      <c r="I334" s="58">
        <f t="shared" si="31"/>
        <v>-2313.5209374493434</v>
      </c>
    </row>
    <row r="335" spans="2:9" s="38" customFormat="1" ht="14.5" outlineLevel="1">
      <c r="B335" s="54">
        <f t="shared" si="32"/>
        <v>315</v>
      </c>
      <c r="C335" s="55">
        <f t="shared" si="33"/>
        <v>74301.812535639983</v>
      </c>
      <c r="D335" s="56">
        <f t="shared" si="29"/>
        <v>94.820045959036776</v>
      </c>
      <c r="E335" s="56">
        <f t="shared" si="30"/>
        <v>604.88668956197455</v>
      </c>
      <c r="F335" s="57">
        <f t="shared" si="34"/>
        <v>-1649.0442775484657</v>
      </c>
      <c r="G335" s="57">
        <f t="shared" si="28"/>
        <v>-604.88668956197455</v>
      </c>
      <c r="H335" s="57">
        <f>-C334*Premissas!$C$30</f>
        <v>-45.513622060337653</v>
      </c>
      <c r="I335" s="58">
        <f t="shared" si="31"/>
        <v>-2302.3188949072414</v>
      </c>
    </row>
    <row r="336" spans="2:9" s="38" customFormat="1" ht="14.5" outlineLevel="1">
      <c r="B336" s="54">
        <f t="shared" si="32"/>
        <v>316</v>
      </c>
      <c r="C336" s="55">
        <f t="shared" si="33"/>
        <v>72743.538411628644</v>
      </c>
      <c r="D336" s="56">
        <f t="shared" si="29"/>
        <v>92.877265669549985</v>
      </c>
      <c r="E336" s="56">
        <f t="shared" si="30"/>
        <v>592.49308728127528</v>
      </c>
      <c r="F336" s="57">
        <f t="shared" si="34"/>
        <v>-1651.1513896808885</v>
      </c>
      <c r="G336" s="57">
        <f t="shared" si="28"/>
        <v>-592.49308728127528</v>
      </c>
      <c r="H336" s="57">
        <f>-C335*Premissas!$C$30</f>
        <v>-44.581087521383985</v>
      </c>
      <c r="I336" s="58">
        <f t="shared" si="31"/>
        <v>-2291.0858464391522</v>
      </c>
    </row>
    <row r="337" spans="2:9" s="38" customFormat="1" ht="14.5" outlineLevel="1">
      <c r="B337" s="54">
        <f t="shared" si="32"/>
        <v>317</v>
      </c>
      <c r="C337" s="55">
        <f t="shared" si="33"/>
        <v>71181.205598015251</v>
      </c>
      <c r="D337" s="56">
        <f t="shared" si="29"/>
        <v>90.9294230145358</v>
      </c>
      <c r="E337" s="56">
        <f t="shared" si="30"/>
        <v>580.0671905896819</v>
      </c>
      <c r="F337" s="57">
        <f t="shared" si="34"/>
        <v>-1653.2622366279238</v>
      </c>
      <c r="G337" s="57">
        <f t="shared" si="28"/>
        <v>-580.0671905896819</v>
      </c>
      <c r="H337" s="57">
        <f>-C336*Premissas!$C$30</f>
        <v>-43.646123046977181</v>
      </c>
      <c r="I337" s="58">
        <f t="shared" si="31"/>
        <v>-2279.8217697024138</v>
      </c>
    </row>
    <row r="338" spans="2:9" s="38" customFormat="1" ht="14.5" outlineLevel="1">
      <c r="B338" s="54">
        <f t="shared" si="32"/>
        <v>318</v>
      </c>
      <c r="C338" s="55">
        <f t="shared" si="33"/>
        <v>69614.805230640326</v>
      </c>
      <c r="D338" s="56">
        <f t="shared" si="29"/>
        <v>88.976506997519067</v>
      </c>
      <c r="E338" s="56">
        <f t="shared" si="30"/>
        <v>567.60892933724438</v>
      </c>
      <c r="F338" s="57">
        <f t="shared" si="34"/>
        <v>-1655.3768743724477</v>
      </c>
      <c r="G338" s="57">
        <f t="shared" si="28"/>
        <v>-567.60892933724438</v>
      </c>
      <c r="H338" s="57">
        <f>-C337*Premissas!$C$30</f>
        <v>-42.708723358809145</v>
      </c>
      <c r="I338" s="58">
        <f t="shared" si="31"/>
        <v>-2268.5266452273368</v>
      </c>
    </row>
    <row r="339" spans="2:9" s="38" customFormat="1" ht="14.5" outlineLevel="1">
      <c r="B339" s="54">
        <f t="shared" si="32"/>
        <v>319</v>
      </c>
      <c r="C339" s="55">
        <f t="shared" si="33"/>
        <v>68044.328374544333</v>
      </c>
      <c r="D339" s="56">
        <f t="shared" si="29"/>
        <v>87.018506538300414</v>
      </c>
      <c r="E339" s="56">
        <f t="shared" si="30"/>
        <v>555.11823283991032</v>
      </c>
      <c r="F339" s="57">
        <f t="shared" si="34"/>
        <v>-1657.4953626342935</v>
      </c>
      <c r="G339" s="57">
        <f t="shared" si="28"/>
        <v>-555.11823283991032</v>
      </c>
      <c r="H339" s="57">
        <f>-C338*Premissas!$C$30</f>
        <v>-41.76888313838419</v>
      </c>
      <c r="I339" s="58">
        <f t="shared" si="31"/>
        <v>-2257.2004567108538</v>
      </c>
    </row>
    <row r="340" spans="2:9" s="38" customFormat="1" ht="14.5" outlineLevel="1">
      <c r="B340" s="54">
        <f t="shared" si="32"/>
        <v>320</v>
      </c>
      <c r="C340" s="55">
        <f t="shared" si="33"/>
        <v>66469.766019779723</v>
      </c>
      <c r="D340" s="56">
        <f t="shared" si="29"/>
        <v>85.055410468180412</v>
      </c>
      <c r="E340" s="56">
        <f t="shared" si="30"/>
        <v>542.59502984905748</v>
      </c>
      <c r="F340" s="57">
        <f t="shared" si="34"/>
        <v>-1659.6177652327885</v>
      </c>
      <c r="G340" s="57">
        <f t="shared" si="28"/>
        <v>-542.59502984905748</v>
      </c>
      <c r="H340" s="57">
        <f>-C339*Premissas!$C$30</f>
        <v>-40.826597024726595</v>
      </c>
      <c r="I340" s="58">
        <f t="shared" si="31"/>
        <v>-2245.8431913467057</v>
      </c>
    </row>
    <row r="341" spans="2:9" s="38" customFormat="1" ht="14.5" outlineLevel="1">
      <c r="B341" s="54">
        <f t="shared" si="32"/>
        <v>321</v>
      </c>
      <c r="C341" s="55">
        <f t="shared" si="33"/>
        <v>64891.109076809953</v>
      </c>
      <c r="D341" s="56">
        <f t="shared" si="29"/>
        <v>83.087207524724661</v>
      </c>
      <c r="E341" s="56">
        <f t="shared" si="30"/>
        <v>530.03924851809916</v>
      </c>
      <c r="F341" s="57">
        <f t="shared" si="34"/>
        <v>-1661.7441504944932</v>
      </c>
      <c r="G341" s="57">
        <f t="shared" ref="G341:G381" si="35">-E341</f>
        <v>-530.03924851809916</v>
      </c>
      <c r="H341" s="57">
        <f>-C340*Premissas!$C$30</f>
        <v>-39.881859611867831</v>
      </c>
      <c r="I341" s="58">
        <f t="shared" si="31"/>
        <v>-2234.4548401977404</v>
      </c>
    </row>
    <row r="342" spans="2:9" s="38" customFormat="1" ht="14.5" outlineLevel="1">
      <c r="B342" s="54">
        <f t="shared" si="32"/>
        <v>322</v>
      </c>
      <c r="C342" s="55">
        <f t="shared" si="33"/>
        <v>63308.348371442895</v>
      </c>
      <c r="D342" s="56">
        <f t="shared" ref="D342:D381" si="36">C341*(TR/12)</f>
        <v>81.11388634601245</v>
      </c>
      <c r="E342" s="56">
        <f t="shared" ref="E342:E381" si="37">C341*$C$9</f>
        <v>517.45081636579425</v>
      </c>
      <c r="F342" s="57">
        <f t="shared" si="34"/>
        <v>-1663.8745917130757</v>
      </c>
      <c r="G342" s="57">
        <f t="shared" si="35"/>
        <v>-517.45081636579425</v>
      </c>
      <c r="H342" s="57">
        <f>-C341*Premissas!$C$30</f>
        <v>-38.934665446085965</v>
      </c>
      <c r="I342" s="58">
        <f t="shared" ref="I342:I381" si="38">SUM(F342:H342)*(1+TR/12)</f>
        <v>-2223.0353986168625</v>
      </c>
    </row>
    <row r="343" spans="2:9" s="38" customFormat="1" ht="14.5" outlineLevel="1">
      <c r="B343" s="54">
        <f t="shared" ref="B343:B381" si="39">B342+1</f>
        <v>323</v>
      </c>
      <c r="C343" s="55">
        <f t="shared" ref="C343:C380" si="40">C342+F343+D343</f>
        <v>61721.474639237647</v>
      </c>
      <c r="D343" s="56">
        <f t="shared" si="36"/>
        <v>79.135435464303626</v>
      </c>
      <c r="E343" s="56">
        <f t="shared" si="37"/>
        <v>504.82966023584657</v>
      </c>
      <c r="F343" s="57">
        <f t="shared" ref="F343:F380" si="41">IFERROR(-C342/($C$5-B342),"n/a")</f>
        <v>-1666.0091676695499</v>
      </c>
      <c r="G343" s="57">
        <f t="shared" si="35"/>
        <v>-504.82966023584657</v>
      </c>
      <c r="H343" s="57">
        <f>-C342*Premissas!$C$30</f>
        <v>-37.985009022865732</v>
      </c>
      <c r="I343" s="58">
        <f t="shared" si="38"/>
        <v>-2211.5848667244222</v>
      </c>
    </row>
    <row r="344" spans="2:9" s="38" customFormat="1" ht="14.5" outlineLevel="1">
      <c r="B344" s="54">
        <f t="shared" si="39"/>
        <v>324</v>
      </c>
      <c r="C344" s="55">
        <f t="shared" si="40"/>
        <v>60130.478519314056</v>
      </c>
      <c r="D344" s="56">
        <f t="shared" si="36"/>
        <v>77.151843299047059</v>
      </c>
      <c r="E344" s="56">
        <f t="shared" si="37"/>
        <v>492.17570625230331</v>
      </c>
      <c r="F344" s="57">
        <f t="shared" si="41"/>
        <v>-1668.1479632226392</v>
      </c>
      <c r="G344" s="57">
        <f t="shared" si="35"/>
        <v>-492.17570625230331</v>
      </c>
      <c r="H344" s="57">
        <f>-C343*Premissas!$C$30</f>
        <v>-37.032884783542585</v>
      </c>
      <c r="I344" s="58">
        <f t="shared" si="38"/>
        <v>-2200.103249951308</v>
      </c>
    </row>
    <row r="345" spans="2:9" s="38" customFormat="1" ht="14.5" outlineLevel="1">
      <c r="B345" s="54">
        <f t="shared" si="39"/>
        <v>325</v>
      </c>
      <c r="C345" s="55">
        <f t="shared" si="40"/>
        <v>58535.350547482252</v>
      </c>
      <c r="D345" s="56">
        <f t="shared" si="36"/>
        <v>75.16309814914257</v>
      </c>
      <c r="E345" s="56">
        <f t="shared" si="37"/>
        <v>479.48887977019155</v>
      </c>
      <c r="F345" s="57">
        <f t="shared" si="41"/>
        <v>-1670.2910699809461</v>
      </c>
      <c r="G345" s="57">
        <f t="shared" si="35"/>
        <v>-479.48887977019155</v>
      </c>
      <c r="H345" s="57">
        <f>-C344*Premissas!$C$30</f>
        <v>-36.07828711158843</v>
      </c>
      <c r="I345" s="58">
        <f t="shared" si="38"/>
        <v>-2188.5905596588045</v>
      </c>
    </row>
    <row r="346" spans="2:9" s="38" customFormat="1" ht="14.5" outlineLevel="1">
      <c r="B346" s="54">
        <f t="shared" si="39"/>
        <v>326</v>
      </c>
      <c r="C346" s="55">
        <f t="shared" si="40"/>
        <v>56936.08114859568</v>
      </c>
      <c r="D346" s="56">
        <f t="shared" si="36"/>
        <v>73.169188184352819</v>
      </c>
      <c r="E346" s="56">
        <f t="shared" si="37"/>
        <v>466.76910532073231</v>
      </c>
      <c r="F346" s="57">
        <f t="shared" si="41"/>
        <v>-1672.4385870709216</v>
      </c>
      <c r="G346" s="57">
        <f t="shared" si="35"/>
        <v>-466.76910532073231</v>
      </c>
      <c r="H346" s="57">
        <f>-C345*Premissas!$C$30</f>
        <v>-35.121210328489347</v>
      </c>
      <c r="I346" s="58">
        <f t="shared" si="38"/>
        <v>-2177.046813848543</v>
      </c>
    </row>
    <row r="347" spans="2:9" s="38" customFormat="1" ht="14.5" outlineLevel="1">
      <c r="B347" s="54">
        <f t="shared" si="39"/>
        <v>327</v>
      </c>
      <c r="C347" s="55">
        <f t="shared" si="40"/>
        <v>55332.660628013909</v>
      </c>
      <c r="D347" s="56">
        <f t="shared" si="36"/>
        <v>71.170101435744598</v>
      </c>
      <c r="E347" s="56">
        <f t="shared" si="37"/>
        <v>454.01630655036229</v>
      </c>
      <c r="F347" s="57">
        <f t="shared" si="41"/>
        <v>-1674.59062201752</v>
      </c>
      <c r="G347" s="57">
        <f t="shared" si="35"/>
        <v>-454.01630655036229</v>
      </c>
      <c r="H347" s="57">
        <f>-C346*Premissas!$C$30</f>
        <v>-34.161648689157403</v>
      </c>
      <c r="I347" s="58">
        <f t="shared" si="38"/>
        <v>-2165.4720379786113</v>
      </c>
    </row>
    <row r="348" spans="2:9" s="38" customFormat="1" ht="14.5" outlineLevel="1">
      <c r="B348" s="54">
        <f t="shared" si="39"/>
        <v>328</v>
      </c>
      <c r="C348" s="55">
        <f t="shared" si="40"/>
        <v>53725.079162040929</v>
      </c>
      <c r="D348" s="56">
        <f t="shared" si="36"/>
        <v>69.16582578501739</v>
      </c>
      <c r="E348" s="56">
        <f t="shared" si="37"/>
        <v>441.23040615265728</v>
      </c>
      <c r="F348" s="57">
        <f t="shared" si="41"/>
        <v>-1676.7472917579973</v>
      </c>
      <c r="G348" s="57">
        <f t="shared" si="35"/>
        <v>-441.23040615265728</v>
      </c>
      <c r="H348" s="57">
        <f>-C347*Premissas!$C$30</f>
        <v>-33.199596376808344</v>
      </c>
      <c r="I348" s="58">
        <f t="shared" si="38"/>
        <v>-2153.8662659053221</v>
      </c>
    </row>
    <row r="349" spans="2:9" s="38" customFormat="1" ht="14.5" outlineLevel="1">
      <c r="B349" s="54">
        <f t="shared" si="39"/>
        <v>329</v>
      </c>
      <c r="C349" s="55">
        <f t="shared" si="40"/>
        <v>52113.3267871797</v>
      </c>
      <c r="D349" s="56">
        <f t="shared" si="36"/>
        <v>67.156348952551156</v>
      </c>
      <c r="E349" s="56">
        <f t="shared" si="37"/>
        <v>428.41132579208573</v>
      </c>
      <c r="F349" s="57">
        <f t="shared" si="41"/>
        <v>-1678.908723813779</v>
      </c>
      <c r="G349" s="57">
        <f t="shared" si="35"/>
        <v>-428.41132579208573</v>
      </c>
      <c r="H349" s="57">
        <f>-C348*Premissas!$C$30</f>
        <v>-32.235047497224556</v>
      </c>
      <c r="I349" s="58">
        <f t="shared" si="38"/>
        <v>-2142.2295409744684</v>
      </c>
    </row>
    <row r="350" spans="2:9" s="38" customFormat="1" ht="14.5" outlineLevel="1">
      <c r="B350" s="54">
        <f t="shared" si="39"/>
        <v>330</v>
      </c>
      <c r="C350" s="55">
        <f t="shared" si="40"/>
        <v>50497.393388012715</v>
      </c>
      <c r="D350" s="56">
        <f t="shared" si="36"/>
        <v>65.141658483974624</v>
      </c>
      <c r="E350" s="56">
        <f t="shared" si="37"/>
        <v>415.55898601832314</v>
      </c>
      <c r="F350" s="57">
        <f t="shared" si="41"/>
        <v>-1681.0750576509581</v>
      </c>
      <c r="G350" s="57">
        <f t="shared" si="35"/>
        <v>-415.55898601832314</v>
      </c>
      <c r="H350" s="57">
        <f>-C349*Premissas!$C$30</f>
        <v>-31.267996072307817</v>
      </c>
      <c r="I350" s="58">
        <f t="shared" si="38"/>
        <v>-2130.5619172912657</v>
      </c>
    </row>
    <row r="351" spans="2:9" s="38" customFormat="1" ht="14.5" outlineLevel="1">
      <c r="B351" s="54">
        <f t="shared" si="39"/>
        <v>331</v>
      </c>
      <c r="C351" s="55">
        <f t="shared" si="40"/>
        <v>48877.268683480637</v>
      </c>
      <c r="D351" s="56">
        <f t="shared" si="36"/>
        <v>63.121741735015895</v>
      </c>
      <c r="E351" s="56">
        <f t="shared" si="37"/>
        <v>402.67330616960982</v>
      </c>
      <c r="F351" s="57">
        <f t="shared" si="41"/>
        <v>-1683.2464462670905</v>
      </c>
      <c r="G351" s="57">
        <f t="shared" si="35"/>
        <v>-402.67330616960982</v>
      </c>
      <c r="H351" s="57">
        <f>-C350*Premissas!$C$30</f>
        <v>-30.298436032807626</v>
      </c>
      <c r="I351" s="58">
        <f t="shared" si="38"/>
        <v>-2118.8634612050951</v>
      </c>
    </row>
    <row r="352" spans="2:9" s="38" customFormat="1" ht="14.5" outlineLevel="1">
      <c r="B352" s="54">
        <f t="shared" si="39"/>
        <v>332</v>
      </c>
      <c r="C352" s="55">
        <f t="shared" si="40"/>
        <v>47252.942211283931</v>
      </c>
      <c r="D352" s="56">
        <f t="shared" si="36"/>
        <v>61.096585854350799</v>
      </c>
      <c r="E352" s="56">
        <f t="shared" si="37"/>
        <v>389.75420426333483</v>
      </c>
      <c r="F352" s="57">
        <f t="shared" si="41"/>
        <v>-1685.4230580510564</v>
      </c>
      <c r="G352" s="57">
        <f t="shared" si="35"/>
        <v>-389.75420426333483</v>
      </c>
      <c r="H352" s="57">
        <f>-C351*Premissas!$C$30</f>
        <v>-29.326361210088379</v>
      </c>
      <c r="I352" s="58">
        <f t="shared" si="38"/>
        <v>-2107.134253053885</v>
      </c>
    </row>
    <row r="353" spans="2:9" s="38" customFormat="1" ht="14.5" outlineLevel="1">
      <c r="B353" s="54">
        <f t="shared" si="39"/>
        <v>333</v>
      </c>
      <c r="C353" s="55">
        <f t="shared" si="40"/>
        <v>45624.403310073612</v>
      </c>
      <c r="D353" s="56">
        <f t="shared" si="36"/>
        <v>59.066177764104914</v>
      </c>
      <c r="E353" s="56">
        <f t="shared" si="37"/>
        <v>376.80159687165241</v>
      </c>
      <c r="F353" s="57">
        <f t="shared" si="41"/>
        <v>-1687.6050789744261</v>
      </c>
      <c r="G353" s="57">
        <f t="shared" si="35"/>
        <v>-376.80159687165241</v>
      </c>
      <c r="H353" s="57">
        <f>-C352*Premissas!$C$30</f>
        <v>-28.351765326770355</v>
      </c>
      <c r="I353" s="58">
        <f t="shared" si="38"/>
        <v>-2095.3743892243151</v>
      </c>
    </row>
    <row r="354" spans="2:9" s="38" customFormat="1" ht="14.5" outlineLevel="1">
      <c r="B354" s="54">
        <f t="shared" si="39"/>
        <v>334</v>
      </c>
      <c r="C354" s="55">
        <f t="shared" si="40"/>
        <v>43991.641099023291</v>
      </c>
      <c r="D354" s="56">
        <f t="shared" si="36"/>
        <v>57.030504137592018</v>
      </c>
      <c r="E354" s="56">
        <f t="shared" si="37"/>
        <v>363.81539897946874</v>
      </c>
      <c r="F354" s="57">
        <f t="shared" si="41"/>
        <v>-1689.7927151879117</v>
      </c>
      <c r="G354" s="57">
        <f t="shared" si="35"/>
        <v>-363.81539897946874</v>
      </c>
      <c r="H354" s="57">
        <f>-C353*Premissas!$C$30</f>
        <v>-27.374641986044164</v>
      </c>
      <c r="I354" s="58">
        <f t="shared" si="38"/>
        <v>-2083.5839845986161</v>
      </c>
    </row>
    <row r="355" spans="2:9" s="38" customFormat="1" ht="14.5" outlineLevel="1">
      <c r="B355" s="54">
        <f t="shared" si="39"/>
        <v>335</v>
      </c>
      <c r="C355" s="55">
        <f t="shared" si="40"/>
        <v>42354.644454280788</v>
      </c>
      <c r="D355" s="56">
        <f t="shared" si="36"/>
        <v>54.989551373779115</v>
      </c>
      <c r="E355" s="56">
        <f t="shared" si="37"/>
        <v>350.79552382154606</v>
      </c>
      <c r="F355" s="57">
        <f t="shared" si="41"/>
        <v>-1691.9861961162803</v>
      </c>
      <c r="G355" s="57">
        <f t="shared" si="35"/>
        <v>-350.79552382154606</v>
      </c>
      <c r="H355" s="57">
        <f>-C354*Premissas!$C$30</f>
        <v>-26.394984659413971</v>
      </c>
      <c r="I355" s="58">
        <f t="shared" si="38"/>
        <v>-2071.7631754779873</v>
      </c>
    </row>
    <row r="356" spans="2:9" s="38" customFormat="1" ht="14.5" outlineLevel="1">
      <c r="B356" s="54">
        <f t="shared" si="39"/>
        <v>336</v>
      </c>
      <c r="C356" s="55">
        <f t="shared" si="40"/>
        <v>40713.401981677409</v>
      </c>
      <c r="D356" s="56">
        <f t="shared" si="36"/>
        <v>52.943305567850985</v>
      </c>
      <c r="E356" s="56">
        <f t="shared" si="37"/>
        <v>337.74188269472506</v>
      </c>
      <c r="F356" s="57">
        <f t="shared" si="41"/>
        <v>-1694.1857781712315</v>
      </c>
      <c r="G356" s="57">
        <f t="shared" si="35"/>
        <v>-337.74188269472506</v>
      </c>
      <c r="H356" s="57">
        <f>-C355*Premissas!$C$30</f>
        <v>-25.412786672568469</v>
      </c>
      <c r="I356" s="58">
        <f t="shared" si="38"/>
        <v>-2059.9121230979481</v>
      </c>
    </row>
    <row r="357" spans="2:9" s="38" customFormat="1" ht="14.5" outlineLevel="1">
      <c r="B357" s="54">
        <f t="shared" si="39"/>
        <v>337</v>
      </c>
      <c r="C357" s="55">
        <f t="shared" si="40"/>
        <v>39067.901984917946</v>
      </c>
      <c r="D357" s="56">
        <f t="shared" si="36"/>
        <v>50.891752477096759</v>
      </c>
      <c r="E357" s="56">
        <f t="shared" si="37"/>
        <v>324.65438474030447</v>
      </c>
      <c r="F357" s="57">
        <f t="shared" si="41"/>
        <v>-1696.3917492365588</v>
      </c>
      <c r="G357" s="57">
        <f t="shared" si="35"/>
        <v>-324.65438474030447</v>
      </c>
      <c r="H357" s="57">
        <f>-C356*Premissas!$C$30</f>
        <v>-24.428041189006443</v>
      </c>
      <c r="I357" s="58">
        <f t="shared" si="38"/>
        <v>-2048.0310178848272</v>
      </c>
    </row>
    <row r="358" spans="2:9" s="38" customFormat="1" ht="14.5" outlineLevel="1">
      <c r="B358" s="54">
        <f t="shared" si="39"/>
        <v>338</v>
      </c>
      <c r="C358" s="55">
        <f t="shared" si="40"/>
        <v>37418.132428272227</v>
      </c>
      <c r="D358" s="56">
        <f t="shared" si="36"/>
        <v>48.83487748114743</v>
      </c>
      <c r="E358" s="56">
        <f t="shared" si="37"/>
        <v>311.53293669038379</v>
      </c>
      <c r="F358" s="57">
        <f t="shared" si="41"/>
        <v>-1698.6044341268673</v>
      </c>
      <c r="G358" s="57">
        <f t="shared" si="35"/>
        <v>-311.53293669038379</v>
      </c>
      <c r="H358" s="57">
        <f>-C357*Premissas!$C$30</f>
        <v>-23.440741190950764</v>
      </c>
      <c r="I358" s="58">
        <f t="shared" si="38"/>
        <v>-2036.1200846482122</v>
      </c>
    </row>
    <row r="359" spans="2:9" s="38" customFormat="1" ht="14.5" outlineLevel="1">
      <c r="B359" s="54">
        <f t="shared" si="39"/>
        <v>339</v>
      </c>
      <c r="C359" s="55">
        <f t="shared" si="40"/>
        <v>35764.080892522463</v>
      </c>
      <c r="D359" s="56">
        <f t="shared" si="36"/>
        <v>46.772665535340288</v>
      </c>
      <c r="E359" s="56">
        <f t="shared" si="37"/>
        <v>298.37744257036053</v>
      </c>
      <c r="F359" s="57">
        <f t="shared" si="41"/>
        <v>-1700.8242012851013</v>
      </c>
      <c r="G359" s="57">
        <f t="shared" si="35"/>
        <v>-298.37744257036053</v>
      </c>
      <c r="H359" s="57">
        <f>-C358*Premissas!$C$30</f>
        <v>-22.450879456963335</v>
      </c>
      <c r="I359" s="58">
        <f t="shared" si="38"/>
        <v>-2024.1795889665655</v>
      </c>
    </row>
    <row r="360" spans="2:9" s="38" customFormat="1" ht="14.5" outlineLevel="1">
      <c r="B360" s="54">
        <f t="shared" si="39"/>
        <v>340</v>
      </c>
      <c r="C360" s="55">
        <f t="shared" si="40"/>
        <v>34105.734522565617</v>
      </c>
      <c r="D360" s="56">
        <f t="shared" si="36"/>
        <v>44.705101115653079</v>
      </c>
      <c r="E360" s="56">
        <f t="shared" si="37"/>
        <v>285.18780334764801</v>
      </c>
      <c r="F360" s="57">
        <f t="shared" si="41"/>
        <v>-1703.0514710724983</v>
      </c>
      <c r="G360" s="57">
        <f t="shared" si="35"/>
        <v>-285.18780334764801</v>
      </c>
      <c r="H360" s="57">
        <f>-C359*Premissas!$C$30</f>
        <v>-21.458448535513476</v>
      </c>
      <c r="I360" s="58">
        <f t="shared" si="38"/>
        <v>-2012.2098451093543</v>
      </c>
    </row>
    <row r="361" spans="2:9" s="38" customFormat="1" ht="14.5" outlineLevel="1">
      <c r="B361" s="54">
        <f t="shared" si="39"/>
        <v>341</v>
      </c>
      <c r="C361" s="55">
        <f t="shared" si="40"/>
        <v>32443.079964590543</v>
      </c>
      <c r="D361" s="56">
        <f t="shared" si="36"/>
        <v>42.632168153207026</v>
      </c>
      <c r="E361" s="56">
        <f t="shared" si="37"/>
        <v>271.96391651384931</v>
      </c>
      <c r="F361" s="57">
        <f t="shared" si="41"/>
        <v>-1705.2867261282809</v>
      </c>
      <c r="G361" s="57">
        <f t="shared" si="35"/>
        <v>-271.96391651384931</v>
      </c>
      <c r="H361" s="57">
        <f>-C360*Premissas!$C$30</f>
        <v>-20.46344071353937</v>
      </c>
      <c r="I361" s="58">
        <f t="shared" si="38"/>
        <v>-2000.2112259598639</v>
      </c>
    </row>
    <row r="362" spans="2:9" s="38" customFormat="1" ht="14.5" outlineLevel="1">
      <c r="B362" s="54">
        <f t="shared" si="39"/>
        <v>342</v>
      </c>
      <c r="C362" s="55">
        <f t="shared" si="40"/>
        <v>30776.103290094146</v>
      </c>
      <c r="D362" s="56">
        <f t="shared" si="36"/>
        <v>40.55384995573818</v>
      </c>
      <c r="E362" s="56">
        <f t="shared" si="37"/>
        <v>258.70567558379918</v>
      </c>
      <c r="F362" s="57">
        <f t="shared" si="41"/>
        <v>-1707.5305244521339</v>
      </c>
      <c r="G362" s="57">
        <f t="shared" si="35"/>
        <v>-258.70567558379918</v>
      </c>
      <c r="H362" s="57">
        <f>-C361*Premissas!$C$30</f>
        <v>-19.465847978754322</v>
      </c>
      <c r="I362" s="58">
        <f t="shared" si="38"/>
        <v>-1988.1841755747057</v>
      </c>
    </row>
    <row r="363" spans="2:9" s="38" customFormat="1" ht="14.5" outlineLevel="1">
      <c r="B363" s="54">
        <f t="shared" si="39"/>
        <v>343</v>
      </c>
      <c r="C363" s="55">
        <f t="shared" si="40"/>
        <v>29104.789903090423</v>
      </c>
      <c r="D363" s="56">
        <f t="shared" si="36"/>
        <v>38.470129112617684</v>
      </c>
      <c r="E363" s="56">
        <f t="shared" si="37"/>
        <v>245.41296948965788</v>
      </c>
      <c r="F363" s="57">
        <f t="shared" si="41"/>
        <v>-1709.7835161163414</v>
      </c>
      <c r="G363" s="57">
        <f t="shared" si="35"/>
        <v>-245.41296948965788</v>
      </c>
      <c r="H363" s="57">
        <f>-C362*Premissas!$C$30</f>
        <v>-18.465661974056488</v>
      </c>
      <c r="I363" s="58">
        <f t="shared" si="38"/>
        <v>-1976.1292252645308</v>
      </c>
    </row>
    <row r="364" spans="2:9" s="38" customFormat="1" ht="14.5" outlineLevel="1">
      <c r="B364" s="54">
        <f t="shared" si="39"/>
        <v>344</v>
      </c>
      <c r="C364" s="55">
        <f t="shared" si="40"/>
        <v>27429.124425581613</v>
      </c>
      <c r="D364" s="56">
        <f t="shared" si="36"/>
        <v>36.380987378863033</v>
      </c>
      <c r="E364" s="56">
        <f t="shared" si="37"/>
        <v>232.0856818409834</v>
      </c>
      <c r="F364" s="57">
        <f t="shared" si="41"/>
        <v>-1712.0464648876718</v>
      </c>
      <c r="G364" s="57">
        <f t="shared" si="35"/>
        <v>-232.0856818409834</v>
      </c>
      <c r="H364" s="57">
        <f>-C363*Premissas!$C$30</f>
        <v>-17.462873941854252</v>
      </c>
      <c r="I364" s="58">
        <f t="shared" si="38"/>
        <v>-1964.0470144463475</v>
      </c>
    </row>
    <row r="365" spans="2:9" s="38" customFormat="1" ht="14.5" outlineLevel="1">
      <c r="B365" s="54">
        <f t="shared" si="39"/>
        <v>345</v>
      </c>
      <c r="C365" s="55">
        <f t="shared" si="40"/>
        <v>25749.09055451474</v>
      </c>
      <c r="D365" s="56">
        <f t="shared" si="36"/>
        <v>34.286405531977017</v>
      </c>
      <c r="E365" s="56">
        <f t="shared" si="37"/>
        <v>218.72369001146208</v>
      </c>
      <c r="F365" s="57">
        <f t="shared" si="41"/>
        <v>-1714.3202765988508</v>
      </c>
      <c r="G365" s="57">
        <f t="shared" si="35"/>
        <v>-218.72369001146208</v>
      </c>
      <c r="H365" s="57">
        <f>-C364*Premissas!$C$30</f>
        <v>-16.457474655348967</v>
      </c>
      <c r="I365" s="58">
        <f t="shared" si="38"/>
        <v>-1951.9383180672439</v>
      </c>
    </row>
    <row r="366" spans="2:9" s="38" customFormat="1" ht="14.5" outlineLevel="1">
      <c r="B366" s="54">
        <f t="shared" si="39"/>
        <v>346</v>
      </c>
      <c r="C366" s="55">
        <f t="shared" si="40"/>
        <v>24064.670880740236</v>
      </c>
      <c r="D366" s="56">
        <f t="shared" si="36"/>
        <v>32.186363193143428</v>
      </c>
      <c r="E366" s="56">
        <f t="shared" si="37"/>
        <v>205.32686399826002</v>
      </c>
      <c r="F366" s="57">
        <f t="shared" si="41"/>
        <v>-1716.6060369676493</v>
      </c>
      <c r="G366" s="57">
        <f t="shared" si="35"/>
        <v>-205.32686399826002</v>
      </c>
      <c r="H366" s="57">
        <f>-C365*Premissas!$C$30</f>
        <v>-15.449454332708843</v>
      </c>
      <c r="I366" s="58">
        <f t="shared" si="38"/>
        <v>-1939.8040832427414</v>
      </c>
    </row>
    <row r="367" spans="2:9" s="38" customFormat="1" ht="14.5" outlineLevel="1">
      <c r="B367" s="54">
        <f t="shared" si="39"/>
        <v>347</v>
      </c>
      <c r="C367" s="55">
        <f t="shared" si="40"/>
        <v>22375.846656431146</v>
      </c>
      <c r="D367" s="56">
        <f t="shared" si="36"/>
        <v>30.080838600925293</v>
      </c>
      <c r="E367" s="56">
        <f t="shared" si="37"/>
        <v>191.89506497837388</v>
      </c>
      <c r="F367" s="57">
        <f t="shared" si="41"/>
        <v>-1718.9050629100168</v>
      </c>
      <c r="G367" s="57">
        <f t="shared" si="35"/>
        <v>-191.89506497837388</v>
      </c>
      <c r="H367" s="57">
        <f>-C366*Premissas!$C$30</f>
        <v>-14.438802528444141</v>
      </c>
      <c r="I367" s="58">
        <f t="shared" si="38"/>
        <v>-1927.6454790798557</v>
      </c>
    </row>
    <row r="368" spans="2:9" s="38" customFormat="1" ht="14.5" outlineLevel="1">
      <c r="B368" s="54">
        <f t="shared" si="39"/>
        <v>348</v>
      </c>
      <c r="C368" s="55">
        <f t="shared" si="40"/>
        <v>20682.597491180059</v>
      </c>
      <c r="D368" s="56">
        <f t="shared" si="36"/>
        <v>27.969808320538931</v>
      </c>
      <c r="E368" s="56">
        <f t="shared" si="37"/>
        <v>178.42814345399873</v>
      </c>
      <c r="F368" s="57">
        <f t="shared" si="41"/>
        <v>-1721.2189735716265</v>
      </c>
      <c r="G368" s="57">
        <f t="shared" si="35"/>
        <v>-178.42814345399873</v>
      </c>
      <c r="H368" s="57">
        <f>-C367*Premissas!$C$30</f>
        <v>-13.425507993858686</v>
      </c>
      <c r="I368" s="58">
        <f t="shared" si="38"/>
        <v>-1915.4639658007582</v>
      </c>
    </row>
    <row r="369" spans="2:9" s="38" customFormat="1" ht="14.5" outlineLevel="1">
      <c r="B369" s="54">
        <f t="shared" si="39"/>
        <v>349</v>
      </c>
      <c r="C369" s="55">
        <f t="shared" si="40"/>
        <v>18984.900947112361</v>
      </c>
      <c r="D369" s="56">
        <f t="shared" si="36"/>
        <v>25.853246863975073</v>
      </c>
      <c r="E369" s="56">
        <f t="shared" si="37"/>
        <v>164.92593682916248</v>
      </c>
      <c r="F369" s="57">
        <f t="shared" si="41"/>
        <v>-1723.5497909316716</v>
      </c>
      <c r="G369" s="57">
        <f t="shared" si="35"/>
        <v>-164.92593682916248</v>
      </c>
      <c r="H369" s="57">
        <f>-C368*Premissas!$C$30</f>
        <v>-12.409558494708033</v>
      </c>
      <c r="I369" s="58">
        <f t="shared" si="38"/>
        <v>-1903.2613928633616</v>
      </c>
    </row>
    <row r="370" spans="2:9" s="38" customFormat="1" ht="14.5" outlineLevel="1">
      <c r="B370" s="54">
        <f t="shared" si="39"/>
        <v>350</v>
      </c>
      <c r="C370" s="55">
        <f t="shared" si="40"/>
        <v>17282.731987195129</v>
      </c>
      <c r="D370" s="56">
        <f t="shared" si="36"/>
        <v>23.731126183890453</v>
      </c>
      <c r="E370" s="56">
        <f t="shared" si="37"/>
        <v>151.38826618110204</v>
      </c>
      <c r="F370" s="57">
        <f t="shared" si="41"/>
        <v>-1725.9000861011236</v>
      </c>
      <c r="G370" s="57">
        <f t="shared" si="35"/>
        <v>-151.38826618110204</v>
      </c>
      <c r="H370" s="57">
        <f>-C369*Premissas!$C$30</f>
        <v>-11.390940568267416</v>
      </c>
      <c r="I370" s="58">
        <f t="shared" si="38"/>
        <v>-1891.0401419665563</v>
      </c>
    </row>
    <row r="371" spans="2:9" s="38" customFormat="1" ht="14.5" outlineLevel="1">
      <c r="B371" s="54">
        <f t="shared" si="39"/>
        <v>351</v>
      </c>
      <c r="C371" s="55">
        <f t="shared" si="40"/>
        <v>15576.062203459611</v>
      </c>
      <c r="D371" s="56">
        <f t="shared" si="36"/>
        <v>21.603414983993911</v>
      </c>
      <c r="E371" s="56">
        <f t="shared" si="37"/>
        <v>137.81493186100099</v>
      </c>
      <c r="F371" s="57">
        <f t="shared" si="41"/>
        <v>-1728.2731987195129</v>
      </c>
      <c r="G371" s="57">
        <f t="shared" si="35"/>
        <v>-137.81493186100099</v>
      </c>
      <c r="H371" s="57">
        <f>-C370*Premissas!$C$30</f>
        <v>-10.369639192317077</v>
      </c>
      <c r="I371" s="58">
        <f t="shared" si="38"/>
        <v>-1878.8033419850469</v>
      </c>
    </row>
    <row r="372" spans="2:9" s="38" customFormat="1" ht="14.5" outlineLevel="1">
      <c r="B372" s="54">
        <f t="shared" si="39"/>
        <v>352</v>
      </c>
      <c r="C372" s="55">
        <f t="shared" si="40"/>
        <v>13864.858703051756</v>
      </c>
      <c r="D372" s="56">
        <f t="shared" si="36"/>
        <v>19.470077754324514</v>
      </c>
      <c r="E372" s="56">
        <f t="shared" si="37"/>
        <v>124.20570733972713</v>
      </c>
      <c r="F372" s="57">
        <f t="shared" si="41"/>
        <v>-1730.673578162179</v>
      </c>
      <c r="G372" s="57">
        <f t="shared" si="35"/>
        <v>-124.20570733972713</v>
      </c>
      <c r="H372" s="57">
        <f>-C371*Premissas!$C$30</f>
        <v>-9.3456373220757651</v>
      </c>
      <c r="I372" s="58">
        <f t="shared" si="38"/>
        <v>-1866.5552039775118</v>
      </c>
    </row>
    <row r="373" spans="2:9" s="38" customFormat="1" ht="14.5" outlineLevel="1">
      <c r="B373" s="54">
        <f t="shared" si="39"/>
        <v>353</v>
      </c>
      <c r="C373" s="55">
        <f t="shared" si="40"/>
        <v>12149.082438549101</v>
      </c>
      <c r="D373" s="56">
        <f t="shared" si="36"/>
        <v>17.331073378814693</v>
      </c>
      <c r="E373" s="56">
        <f t="shared" si="37"/>
        <v>110.56033032504321</v>
      </c>
      <c r="F373" s="57">
        <f t="shared" si="41"/>
        <v>-1733.1073378814694</v>
      </c>
      <c r="G373" s="57">
        <f t="shared" si="35"/>
        <v>-110.56033032504321</v>
      </c>
      <c r="H373" s="57">
        <f>-C372*Premissas!$C$30</f>
        <v>-8.3189152218310518</v>
      </c>
      <c r="I373" s="58">
        <f t="shared" si="38"/>
        <v>-1854.3015666576291</v>
      </c>
    </row>
    <row r="374" spans="2:9" s="38" customFormat="1" ht="14.5" outlineLevel="1">
      <c r="B374" s="54">
        <f t="shared" si="39"/>
        <v>354</v>
      </c>
      <c r="C374" s="55">
        <f t="shared" si="40"/>
        <v>10428.685586090272</v>
      </c>
      <c r="D374" s="56">
        <f t="shared" si="36"/>
        <v>15.186353048186376</v>
      </c>
      <c r="E374" s="56">
        <f t="shared" si="37"/>
        <v>96.878489447319126</v>
      </c>
      <c r="F374" s="57">
        <f t="shared" si="41"/>
        <v>-1735.5832055070146</v>
      </c>
      <c r="G374" s="57">
        <f t="shared" si="35"/>
        <v>-96.878489447319126</v>
      </c>
      <c r="H374" s="57">
        <f>-C373*Premissas!$C$30</f>
        <v>-7.2894494631294604</v>
      </c>
      <c r="I374" s="58">
        <f t="shared" si="38"/>
        <v>-1842.050833347985</v>
      </c>
    </row>
    <row r="375" spans="2:9" s="38" customFormat="1" ht="14.5" outlineLevel="1">
      <c r="B375" s="54">
        <f t="shared" si="39"/>
        <v>355</v>
      </c>
      <c r="C375" s="55">
        <f t="shared" si="40"/>
        <v>8703.6071787245073</v>
      </c>
      <c r="D375" s="56">
        <f t="shared" si="36"/>
        <v>13.035856982612842</v>
      </c>
      <c r="E375" s="56">
        <f t="shared" si="37"/>
        <v>83.159803352368385</v>
      </c>
      <c r="F375" s="57">
        <f t="shared" si="41"/>
        <v>-1738.1142643483788</v>
      </c>
      <c r="G375" s="57">
        <f t="shared" si="35"/>
        <v>-83.159803352368385</v>
      </c>
      <c r="H375" s="57">
        <f>-C374*Premissas!$C$30</f>
        <v>-6.2572113516541625</v>
      </c>
      <c r="I375" s="58">
        <f t="shared" si="38"/>
        <v>-1829.8156931512169</v>
      </c>
    </row>
    <row r="376" spans="2:9" s="38" customFormat="1" ht="14.5" outlineLevel="1">
      <c r="B376" s="54">
        <f t="shared" si="39"/>
        <v>356</v>
      </c>
      <c r="C376" s="55">
        <f t="shared" si="40"/>
        <v>6973.765251953012</v>
      </c>
      <c r="D376" s="56">
        <f t="shared" si="36"/>
        <v>10.879508973405635</v>
      </c>
      <c r="E376" s="56">
        <f t="shared" si="37"/>
        <v>69.403785881164126</v>
      </c>
      <c r="F376" s="57">
        <f t="shared" si="41"/>
        <v>-1740.7214357449016</v>
      </c>
      <c r="G376" s="57">
        <f t="shared" si="35"/>
        <v>-69.403785881164126</v>
      </c>
      <c r="H376" s="57">
        <f>-C375*Premissas!$C$30</f>
        <v>-5.2221643072347037</v>
      </c>
      <c r="I376" s="58">
        <f t="shared" si="38"/>
        <v>-1817.6165701657169</v>
      </c>
    </row>
    <row r="377" spans="2:9" s="38" customFormat="1" ht="14.5" outlineLevel="1">
      <c r="B377" s="54">
        <f t="shared" si="39"/>
        <v>357</v>
      </c>
      <c r="C377" s="55">
        <f t="shared" si="40"/>
        <v>5239.0411455296999</v>
      </c>
      <c r="D377" s="56">
        <f t="shared" si="36"/>
        <v>8.7172065649412644</v>
      </c>
      <c r="E377" s="56">
        <f t="shared" si="37"/>
        <v>55.609783437282758</v>
      </c>
      <c r="F377" s="57">
        <f t="shared" si="41"/>
        <v>-1743.441312988253</v>
      </c>
      <c r="G377" s="57">
        <f t="shared" si="35"/>
        <v>-55.609783437282758</v>
      </c>
      <c r="H377" s="57">
        <f>-C376*Premissas!$C$30</f>
        <v>-4.1842591511718066</v>
      </c>
      <c r="I377" s="58">
        <f t="shared" si="38"/>
        <v>-1805.4893997711783</v>
      </c>
    </row>
    <row r="378" spans="2:9" s="38" customFormat="1" ht="14.5" outlineLevel="1">
      <c r="B378" s="54">
        <f t="shared" si="39"/>
        <v>358</v>
      </c>
      <c r="C378" s="55">
        <f t="shared" si="40"/>
        <v>3499.2428984517123</v>
      </c>
      <c r="D378" s="56">
        <f t="shared" si="36"/>
        <v>6.5488014319121248</v>
      </c>
      <c r="E378" s="56">
        <f t="shared" si="37"/>
        <v>41.776849807258671</v>
      </c>
      <c r="F378" s="57">
        <f t="shared" si="41"/>
        <v>-1746.3470485098999</v>
      </c>
      <c r="G378" s="57">
        <f t="shared" si="35"/>
        <v>-41.776849807258671</v>
      </c>
      <c r="H378" s="57">
        <f>-C377*Premissas!$C$30</f>
        <v>-3.1434246873178195</v>
      </c>
      <c r="I378" s="58">
        <f t="shared" si="38"/>
        <v>-1793.5064071582319</v>
      </c>
    </row>
    <row r="379" spans="2:9" s="38" customFormat="1" ht="14.5" outlineLevel="1">
      <c r="B379" s="54">
        <f t="shared" si="39"/>
        <v>359</v>
      </c>
      <c r="C379" s="55">
        <f t="shared" si="40"/>
        <v>1753.9955028489208</v>
      </c>
      <c r="D379" s="56">
        <f t="shared" si="36"/>
        <v>4.3740536230646407</v>
      </c>
      <c r="E379" s="56">
        <f t="shared" si="37"/>
        <v>27.903454267098187</v>
      </c>
      <c r="F379" s="57">
        <f t="shared" si="41"/>
        <v>-1749.6214492258562</v>
      </c>
      <c r="G379" s="57">
        <f t="shared" si="35"/>
        <v>-27.903454267098187</v>
      </c>
      <c r="H379" s="57">
        <f>-C378*Premissas!$C$30</f>
        <v>-2.099545739071027</v>
      </c>
      <c r="I379" s="58">
        <f t="shared" si="38"/>
        <v>-1781.8489797935654</v>
      </c>
    </row>
    <row r="380" spans="2:9" s="38" customFormat="1" ht="14.5" outlineLevel="1">
      <c r="B380" s="67">
        <f t="shared" si="39"/>
        <v>360</v>
      </c>
      <c r="C380" s="68">
        <f t="shared" si="40"/>
        <v>2.1924943785611508</v>
      </c>
      <c r="D380" s="68">
        <f t="shared" si="36"/>
        <v>2.1924943785611508</v>
      </c>
      <c r="E380" s="68">
        <f t="shared" si="37"/>
        <v>13.986606451382967</v>
      </c>
      <c r="F380" s="69">
        <f t="shared" si="41"/>
        <v>-1753.9955028489208</v>
      </c>
      <c r="G380" s="69">
        <f t="shared" si="35"/>
        <v>-13.986606451382967</v>
      </c>
      <c r="H380" s="69">
        <f>-C379*Premissas!$C$30</f>
        <v>-1.0523973017093524</v>
      </c>
      <c r="I380" s="70">
        <f t="shared" si="38"/>
        <v>-1771.2457997352656</v>
      </c>
    </row>
    <row r="381" spans="2:9" s="38" customFormat="1" ht="14.5" outlineLevel="1">
      <c r="B381" s="54">
        <f t="shared" si="39"/>
        <v>361</v>
      </c>
      <c r="C381" s="66">
        <f t="shared" ref="C381" si="42">C380+F381+D381</f>
        <v>2.7406179732014386E-3</v>
      </c>
      <c r="D381" s="56">
        <f t="shared" si="36"/>
        <v>2.7406179732014386E-3</v>
      </c>
      <c r="E381" s="56">
        <f t="shared" si="37"/>
        <v>1.7483258064228707E-2</v>
      </c>
      <c r="F381" s="57">
        <f>IFERROR(-C380/($C$5-B380),-C380)</f>
        <v>-2.1924943785611508</v>
      </c>
      <c r="G381" s="57">
        <f t="shared" si="35"/>
        <v>-1.7483258064228707E-2</v>
      </c>
      <c r="H381" s="57">
        <f>-C380*Premissas!$C$30</f>
        <v>-1.3154966271366904E-3</v>
      </c>
      <c r="I381" s="58">
        <f t="shared" si="38"/>
        <v>-2.2140572496690818</v>
      </c>
    </row>
    <row r="382" spans="2:9" s="38" customFormat="1" ht="7.5" customHeight="1">
      <c r="B382" s="54"/>
      <c r="C382" s="55"/>
      <c r="D382" s="56"/>
      <c r="E382" s="56"/>
      <c r="F382" s="57"/>
      <c r="G382" s="57"/>
      <c r="H382" s="57"/>
      <c r="I382" s="58"/>
    </row>
    <row r="383" spans="2:9" s="38" customFormat="1" ht="7.5" customHeight="1">
      <c r="B383" s="71"/>
      <c r="C383" s="72"/>
      <c r="D383" s="73"/>
      <c r="E383" s="73"/>
      <c r="F383" s="74"/>
      <c r="G383" s="74"/>
      <c r="H383" s="74"/>
      <c r="I383" s="75"/>
    </row>
    <row r="384" spans="2:9" s="38" customFormat="1" ht="14.5">
      <c r="B384" s="54"/>
      <c r="C384" s="55"/>
      <c r="D384" s="56"/>
      <c r="E384" s="56"/>
      <c r="F384" s="57"/>
      <c r="G384" s="57"/>
      <c r="H384" s="57"/>
      <c r="I384" s="58"/>
    </row>
    <row r="385" spans="1:9">
      <c r="B385" s="81" t="s">
        <v>67</v>
      </c>
      <c r="C385" s="82" t="s">
        <v>68</v>
      </c>
    </row>
    <row r="386" spans="1:9" s="38" customFormat="1" ht="4.5" customHeight="1">
      <c r="B386" s="54"/>
      <c r="C386" s="55"/>
      <c r="D386" s="56"/>
      <c r="E386" s="56"/>
      <c r="F386" s="57"/>
      <c r="G386" s="57"/>
      <c r="H386" s="57"/>
      <c r="I386" s="58"/>
    </row>
    <row r="387" spans="1:9" hidden="1" outlineLevel="1">
      <c r="A387" s="78"/>
      <c r="B387" s="77">
        <v>1</v>
      </c>
      <c r="C387" s="79">
        <f>SUMIF($B$21:$B$380,"&lt;=12",$I$21:$I$380)</f>
        <v>-55593.719818087025</v>
      </c>
    </row>
    <row r="388" spans="1:9" hidden="1" outlineLevel="1">
      <c r="A388" s="78"/>
      <c r="B388" s="77">
        <f>B387+1</f>
        <v>2</v>
      </c>
      <c r="C388" s="79">
        <f>SUMIF($B$21:$B$380,"&lt;=24",$I$21:$I$380)-SUM(C387:$C$387)</f>
        <v>-53717.84619417978</v>
      </c>
    </row>
    <row r="389" spans="1:9" hidden="1" outlineLevel="1">
      <c r="A389" s="78"/>
      <c r="B389" s="77">
        <f t="shared" ref="B389:B416" si="43">B388+1</f>
        <v>3</v>
      </c>
      <c r="C389" s="79">
        <f>SUMIF($B$21:$B$380,"&lt;=36",$I$21:$I$380)-SUM(C$387:$C388)</f>
        <v>-53106.302094667873</v>
      </c>
    </row>
    <row r="390" spans="1:9" hidden="1" outlineLevel="1">
      <c r="A390" s="78"/>
      <c r="B390" s="77">
        <f t="shared" si="43"/>
        <v>4</v>
      </c>
      <c r="C390" s="79">
        <f>SUMIF($B$21:$B$380,"&lt;=48",$I$21:$I$380)-SUM(C$387:$C389)</f>
        <v>-52463.988780646585</v>
      </c>
    </row>
    <row r="391" spans="1:9" hidden="1" outlineLevel="1">
      <c r="A391" s="78"/>
      <c r="B391" s="77">
        <f t="shared" si="43"/>
        <v>5</v>
      </c>
      <c r="C391" s="79">
        <f>SUMIF($B$21:$B$380,"&lt;=60",$I$21:$I$380)-SUM(C$387:$C390)</f>
        <v>-51790.114976914687</v>
      </c>
    </row>
    <row r="392" spans="1:9" hidden="1" outlineLevel="1">
      <c r="A392" s="78"/>
      <c r="B392" s="77">
        <f t="shared" si="43"/>
        <v>6</v>
      </c>
      <c r="C392" s="79">
        <f>SUMIF($B$21:$B$380,"&lt;=72",$I$21:$I$380)-SUM(C$387:$C391)</f>
        <v>-51083.872516591859</v>
      </c>
    </row>
    <row r="393" spans="1:9" hidden="1" outlineLevel="1">
      <c r="A393" s="78"/>
      <c r="B393" s="77">
        <f t="shared" si="43"/>
        <v>7</v>
      </c>
      <c r="C393" s="79">
        <f>SUMIF($B$21:$B$380,"&lt;=84",$I$21:$I$380)-SUM(C$387:$C392)</f>
        <v>-50344.43602450547</v>
      </c>
    </row>
    <row r="394" spans="1:9" hidden="1" outlineLevel="1">
      <c r="A394" s="78"/>
      <c r="B394" s="77">
        <f t="shared" si="43"/>
        <v>8</v>
      </c>
      <c r="C394" s="79">
        <f>SUMIF($B$21:$B$380,"&lt;=96",$I$21:$I$380)-SUM(C$387:$C393)</f>
        <v>-49570.962599672261</v>
      </c>
    </row>
    <row r="395" spans="1:9" hidden="1" outlineLevel="1">
      <c r="A395" s="78"/>
      <c r="B395" s="77">
        <f t="shared" si="43"/>
        <v>9</v>
      </c>
      <c r="C395" s="79">
        <f>SUMIF($B$21:$B$380,"&lt;=108",$I$21:$I$380)-SUM(C$387:$C394)</f>
        <v>-48762.591498595604</v>
      </c>
    </row>
    <row r="396" spans="1:9" hidden="1" outlineLevel="1">
      <c r="A396" s="78"/>
      <c r="B396" s="77">
        <f t="shared" si="43"/>
        <v>10</v>
      </c>
      <c r="C396" s="79">
        <f>SUMIF($B$21:$B$380,"&lt;=120",$I$21:$I$380)-SUM(C$387:$C395)</f>
        <v>-47918.443821783876</v>
      </c>
    </row>
    <row r="397" spans="1:9" hidden="1" outlineLevel="1">
      <c r="A397" s="78"/>
      <c r="B397" s="77">
        <f t="shared" si="43"/>
        <v>11</v>
      </c>
      <c r="C397" s="79">
        <f>SUMIF($B$21:$B$380,"&lt;=132",$I$21:$I$380)-SUM(C$387:$C396)</f>
        <v>-47037.622206907021</v>
      </c>
    </row>
    <row r="398" spans="1:9" hidden="1" outlineLevel="1">
      <c r="A398" s="78"/>
      <c r="B398" s="77">
        <f t="shared" si="43"/>
        <v>12</v>
      </c>
      <c r="C398" s="79">
        <f>SUMIF($B$21:$B$380,"&lt;=144",$I$21:$I$380)-SUM(C$387:$C397)</f>
        <v>-46119.210533456295</v>
      </c>
    </row>
    <row r="399" spans="1:9" hidden="1" outlineLevel="1">
      <c r="A399" s="78"/>
      <c r="B399" s="77">
        <f t="shared" si="43"/>
        <v>13</v>
      </c>
      <c r="C399" s="79">
        <f>SUMIF($B$21:$B$380,"&lt;=156",$I$21:$I$380)-SUM(C$387:$C398)</f>
        <v>-45162.273645941867</v>
      </c>
    </row>
    <row r="400" spans="1:9" hidden="1" outlineLevel="1">
      <c r="A400" s="78"/>
      <c r="B400" s="77">
        <f t="shared" si="43"/>
        <v>14</v>
      </c>
      <c r="C400" s="79">
        <f>SUMIF($B$21:$B$380,"&lt;=168",$I$21:$I$380)-SUM(C$387:$C399)</f>
        <v>-44165.857105912757</v>
      </c>
    </row>
    <row r="401" spans="1:3" hidden="1" outlineLevel="1">
      <c r="A401" s="78"/>
      <c r="B401" s="77">
        <f t="shared" si="43"/>
        <v>15</v>
      </c>
      <c r="C401" s="79">
        <f>SUMIF($B$21:$B$380,"&lt;=180",$I$21:$I$380)-SUM(C$387:$C400)</f>
        <v>-43128.986988077289</v>
      </c>
    </row>
    <row r="402" spans="1:3" hidden="1" outlineLevel="1">
      <c r="A402" s="78"/>
      <c r="B402" s="77">
        <f t="shared" si="43"/>
        <v>16</v>
      </c>
      <c r="C402" s="79">
        <f>SUMIF($B$21:$B$380,"&lt;=192",$I$21:$I$380)-SUM(C$387:$C401)</f>
        <v>-42050.669743661652</v>
      </c>
    </row>
    <row r="403" spans="1:3" hidden="1" outlineLevel="1">
      <c r="A403" s="78"/>
      <c r="B403" s="77">
        <f t="shared" si="43"/>
        <v>17</v>
      </c>
      <c r="C403" s="79">
        <f>SUMIF($B$21:$B$380,"&lt;=204",$I$21:$I$380)-SUM(C$387:$C402)</f>
        <v>-40929.892166739213</v>
      </c>
    </row>
    <row r="404" spans="1:3" hidden="1" outlineLevel="1">
      <c r="A404" s="78"/>
      <c r="B404" s="77">
        <f t="shared" si="43"/>
        <v>18</v>
      </c>
      <c r="C404" s="79">
        <f>SUMIF($B$21:$B$380,"&lt;=216",$I$21:$I$380)-SUM(C$387:$C403)</f>
        <v>-39765.621520111919</v>
      </c>
    </row>
    <row r="405" spans="1:3" hidden="1" outlineLevel="1">
      <c r="A405" s="78"/>
      <c r="B405" s="77">
        <f t="shared" si="43"/>
        <v>19</v>
      </c>
      <c r="C405" s="79">
        <f>SUMIF($B$21:$B$380,"&lt;=228",$I$21:$I$380)-SUM(C$387:$C404)</f>
        <v>-38556.805912858341</v>
      </c>
    </row>
    <row r="406" spans="1:3" hidden="1" outlineLevel="1">
      <c r="A406" s="78"/>
      <c r="B406" s="77">
        <f t="shared" si="43"/>
        <v>20</v>
      </c>
      <c r="C406" s="79">
        <f>SUMIF($B$21:$B$380,"&lt;=240",$I$21:$I$380)-SUM(C$387:$C405)</f>
        <v>-37302.375084445113</v>
      </c>
    </row>
    <row r="407" spans="1:3" hidden="1" outlineLevel="1">
      <c r="A407" s="78"/>
      <c r="B407" s="77">
        <f t="shared" si="43"/>
        <v>21</v>
      </c>
      <c r="C407" s="79">
        <f>SUMIF($B$21:$B$380,"&lt;=252",$I$21:$I$380)-SUM(C$387:$C406)</f>
        <v>-36001.241865990218</v>
      </c>
    </row>
    <row r="408" spans="1:3" hidden="1" outlineLevel="1">
      <c r="A408" s="78"/>
      <c r="B408" s="77">
        <f t="shared" si="43"/>
        <v>22</v>
      </c>
      <c r="C408" s="79">
        <f>SUMIF($B$21:$B$380,"&lt;=264",$I$21:$I$380)-SUM(C$387:$C407)</f>
        <v>-34652.304813190713</v>
      </c>
    </row>
    <row r="409" spans="1:3" hidden="1" outlineLevel="1">
      <c r="A409" s="78"/>
      <c r="B409" s="77">
        <f t="shared" si="43"/>
        <v>23</v>
      </c>
      <c r="C409" s="79">
        <f>SUMIF($B$21:$B$380,"&lt;=276",$I$21:$I$380)-SUM(C$387:$C408)</f>
        <v>-33254.452964955126</v>
      </c>
    </row>
    <row r="410" spans="1:3" hidden="1" outlineLevel="1">
      <c r="A410" s="78"/>
      <c r="B410" s="77">
        <f t="shared" si="43"/>
        <v>24</v>
      </c>
      <c r="C410" s="79">
        <f>SUMIF($B$21:$B$380,"&lt;=288",$I$21:$I$380)-SUM(C$387:$C409)</f>
        <v>-31806.574694900773</v>
      </c>
    </row>
    <row r="411" spans="1:3" hidden="1" outlineLevel="1">
      <c r="A411" s="78"/>
      <c r="B411" s="77">
        <f t="shared" si="43"/>
        <v>25</v>
      </c>
      <c r="C411" s="79">
        <f>SUMIF($B$21:$B$380,"&lt;=300",$I$21:$I$380)-SUM(C$387:$C410)</f>
        <v>-30307.575065078447</v>
      </c>
    </row>
    <row r="412" spans="1:3" hidden="1" outlineLevel="1">
      <c r="A412" s="78"/>
      <c r="B412" s="77">
        <f t="shared" si="43"/>
        <v>26</v>
      </c>
      <c r="C412" s="79">
        <f>SUMIF($B$21:$B$380,"&lt;=312",$I$21:$I$380)-SUM(C$387:$C411)</f>
        <v>-28756.41269882326</v>
      </c>
    </row>
    <row r="413" spans="1:3" hidden="1" outlineLevel="1">
      <c r="A413" s="78"/>
      <c r="B413" s="77">
        <f t="shared" si="43"/>
        <v>27</v>
      </c>
      <c r="C413" s="79">
        <f>SUMIF($B$21:$B$380,"&lt;=324",$I$21:$I$380)-SUM(C$387:$C412)</f>
        <v>-27152.18809629255</v>
      </c>
    </row>
    <row r="414" spans="1:3" hidden="1" outlineLevel="1">
      <c r="A414" s="78"/>
      <c r="B414" s="77">
        <f t="shared" si="43"/>
        <v>28</v>
      </c>
      <c r="C414" s="79">
        <f>SUMIF($B$21:$B$380,"&lt;=336",$I$21:$I$380)-SUM(C$387:$C413)</f>
        <v>-25494.398522314616</v>
      </c>
    </row>
    <row r="415" spans="1:3" hidden="1" outlineLevel="1">
      <c r="A415" s="78"/>
      <c r="B415" s="77">
        <f t="shared" si="43"/>
        <v>29</v>
      </c>
      <c r="C415" s="79">
        <f>SUMIF($B$21:$B$380,"&lt;=348",$I$21:$I$380)-SUM(C$387:$C414)</f>
        <v>-23783.964024045272</v>
      </c>
    </row>
    <row r="416" spans="1:3" hidden="1" outlineLevel="1">
      <c r="A416" s="78"/>
      <c r="B416" s="77">
        <f t="shared" si="43"/>
        <v>30</v>
      </c>
      <c r="C416" s="79">
        <f>SUMIF($B$21:$B$380,"&lt;=360",$I$21:$I$380)-SUM(C$387:$C415)</f>
        <v>-22035.535330573097</v>
      </c>
    </row>
    <row r="417" spans="2:5" ht="4.5" hidden="1" customHeight="1" outlineLevel="1">
      <c r="B417" s="76"/>
    </row>
    <row r="418" spans="2:5" ht="4.5" hidden="1" customHeight="1" outlineLevel="1">
      <c r="B418" s="9"/>
      <c r="C418" s="9"/>
    </row>
    <row r="419" spans="2:5" ht="7.5" hidden="1" customHeight="1" outlineLevel="1"/>
    <row r="420" spans="2:5" collapsed="1">
      <c r="B420" s="10" t="s">
        <v>69</v>
      </c>
      <c r="C420" s="80">
        <f>SUM(C387:C416)</f>
        <v>-1231816.2413099206</v>
      </c>
      <c r="E420">
        <f>500000*0.4%</f>
        <v>2000</v>
      </c>
    </row>
    <row r="421" spans="2:5" ht="4.5" customHeight="1">
      <c r="B421" s="76"/>
    </row>
    <row r="422" spans="2:5" ht="4.5" customHeight="1">
      <c r="B422" s="9"/>
      <c r="C422" s="9"/>
    </row>
    <row r="423" spans="2:5"/>
  </sheetData>
  <mergeCells count="4">
    <mergeCell ref="B18:B19"/>
    <mergeCell ref="C18:C19"/>
    <mergeCell ref="E18:E19"/>
    <mergeCell ref="D18:D19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B2:L374"/>
  <sheetViews>
    <sheetView showGridLines="0" zoomScale="55" zoomScaleNormal="55" workbookViewId="0"/>
  </sheetViews>
  <sheetFormatPr defaultColWidth="9" defaultRowHeight="14" outlineLevelRow="1"/>
  <cols>
    <col min="1" max="1" width="4.83203125" customWidth="1"/>
    <col min="2" max="2" width="14.33203125" customWidth="1"/>
    <col min="3" max="3" width="14.83203125" customWidth="1"/>
    <col min="4" max="4" width="14.1640625" customWidth="1"/>
    <col min="5" max="5" width="25.5" customWidth="1"/>
    <col min="6" max="6" width="28.1640625" customWidth="1"/>
    <col min="7" max="7" width="25.5" customWidth="1"/>
    <col min="8" max="8" width="3.5" customWidth="1"/>
    <col min="9" max="9" width="14.33203125" customWidth="1"/>
    <col min="10" max="12" width="20.1640625" customWidth="1"/>
  </cols>
  <sheetData>
    <row r="2" spans="2:12" ht="15.5">
      <c r="B2" s="8" t="s">
        <v>74</v>
      </c>
      <c r="C2" s="6"/>
      <c r="D2" s="6"/>
      <c r="E2" s="6"/>
      <c r="F2" s="6"/>
      <c r="G2" s="6"/>
      <c r="I2" s="97"/>
      <c r="J2" s="97"/>
      <c r="K2" s="97"/>
      <c r="L2" s="97"/>
    </row>
    <row r="3" spans="2:12">
      <c r="B3" s="7" t="str">
        <f>Capa!C3</f>
        <v>Roteiro Lucrativo para Decisões Imobiliárias</v>
      </c>
      <c r="C3" s="6"/>
      <c r="D3" s="6"/>
      <c r="E3" s="6"/>
      <c r="F3" s="6"/>
      <c r="G3" s="6"/>
      <c r="I3" s="97"/>
      <c r="J3" s="97"/>
      <c r="K3" s="97"/>
      <c r="L3" s="97"/>
    </row>
    <row r="5" spans="2:12" s="38" customFormat="1" ht="12.75" customHeight="1">
      <c r="B5" s="98" t="s">
        <v>80</v>
      </c>
      <c r="C5" s="99"/>
      <c r="D5" s="100"/>
      <c r="E5" s="101"/>
      <c r="F5" s="102"/>
      <c r="G5" s="102"/>
      <c r="I5" s="103" t="s">
        <v>81</v>
      </c>
      <c r="J5" s="104"/>
      <c r="K5" s="104"/>
      <c r="L5" s="110"/>
    </row>
    <row r="6" spans="2:12" s="38" customFormat="1" ht="12.75" customHeight="1">
      <c r="B6" s="98"/>
      <c r="C6" s="99"/>
      <c r="D6" s="100"/>
      <c r="E6" s="101"/>
      <c r="F6" s="102"/>
      <c r="G6" s="102"/>
      <c r="I6" s="103" t="s">
        <v>86</v>
      </c>
      <c r="J6" s="104"/>
      <c r="K6" s="104"/>
      <c r="L6" s="105">
        <f>(1+Premissas!C12)*(1+Premissas!C15)-1</f>
        <v>5.5250000000000021E-2</v>
      </c>
    </row>
    <row r="7" spans="2:12" s="38" customFormat="1" ht="12.5">
      <c r="B7" s="48"/>
      <c r="C7" s="52"/>
    </row>
    <row r="8" spans="2:12" s="38" customFormat="1" ht="19.5" customHeight="1">
      <c r="B8" s="196" t="s">
        <v>57</v>
      </c>
      <c r="C8" s="196" t="s">
        <v>8</v>
      </c>
      <c r="D8" s="196" t="s">
        <v>75</v>
      </c>
      <c r="E8" s="196" t="s">
        <v>76</v>
      </c>
      <c r="F8" s="196" t="s">
        <v>78</v>
      </c>
      <c r="G8" s="199" t="s">
        <v>77</v>
      </c>
      <c r="I8" s="198" t="s">
        <v>82</v>
      </c>
      <c r="J8" s="198" t="s">
        <v>83</v>
      </c>
      <c r="K8" s="198" t="s">
        <v>84</v>
      </c>
      <c r="L8" s="198" t="s">
        <v>85</v>
      </c>
    </row>
    <row r="9" spans="2:12" s="38" customFormat="1" ht="23.25" customHeight="1">
      <c r="B9" s="196"/>
      <c r="C9" s="197"/>
      <c r="D9" s="196"/>
      <c r="E9" s="196"/>
      <c r="F9" s="196"/>
      <c r="G9" s="199"/>
      <c r="I9" s="198"/>
      <c r="J9" s="198"/>
      <c r="K9" s="198"/>
      <c r="L9" s="198"/>
    </row>
    <row r="10" spans="2:12" s="38" customFormat="1" ht="4.5" customHeight="1">
      <c r="B10" s="53"/>
      <c r="C10" s="53"/>
      <c r="D10" s="53"/>
      <c r="E10" s="53"/>
      <c r="F10" s="53"/>
      <c r="G10" s="53"/>
      <c r="I10" s="53"/>
    </row>
    <row r="11" spans="2:12" s="38" customFormat="1" ht="14.5" outlineLevel="1">
      <c r="B11" s="67" t="s">
        <v>11</v>
      </c>
      <c r="C11" s="90">
        <f>Premissas!C22</f>
        <v>100000</v>
      </c>
      <c r="D11" s="91">
        <f>Premissas!C14</f>
        <v>2000</v>
      </c>
      <c r="E11" s="92" t="s">
        <v>11</v>
      </c>
      <c r="F11" s="92" t="s">
        <v>11</v>
      </c>
      <c r="G11" s="94">
        <v>6</v>
      </c>
      <c r="I11" s="67" t="s">
        <v>11</v>
      </c>
      <c r="J11" s="67" t="s">
        <v>11</v>
      </c>
      <c r="K11" s="107">
        <v>3.0000000000000001E-3</v>
      </c>
      <c r="L11" s="67" t="s">
        <v>11</v>
      </c>
    </row>
    <row r="12" spans="2:12" s="38" customFormat="1" ht="14.5" outlineLevel="1">
      <c r="B12" s="54">
        <v>1</v>
      </c>
      <c r="C12" s="55">
        <f>$C$11*(1+Premissas!$C$17)^(B12/12)-1</f>
        <v>100735.12011869553</v>
      </c>
      <c r="D12" s="56">
        <f>D11</f>
        <v>2000</v>
      </c>
      <c r="E12" s="56">
        <f>IF(-Financiamento!I21-Investimentos!D12&gt;0,-Financiamento!I21-Investimentos!D12,0)</f>
        <v>3840.7672826726166</v>
      </c>
      <c r="F12" s="93">
        <f>FV((1+Premissas!$C$17)^(1/12)-1,Premissas!$C$23,0,-E12)</f>
        <v>53839.01980760249</v>
      </c>
      <c r="G12" s="95">
        <v>6</v>
      </c>
      <c r="I12" s="54">
        <v>1</v>
      </c>
      <c r="J12" s="106">
        <f>VLR_IMÓVEL*(1+Investimentos!L6)</f>
        <v>527625</v>
      </c>
      <c r="K12" s="106">
        <f>VLR_IMÓVEL*-Investimentos!$K$11</f>
        <v>-1500</v>
      </c>
      <c r="L12" s="106">
        <f>J12+K12</f>
        <v>526125</v>
      </c>
    </row>
    <row r="13" spans="2:12" s="38" customFormat="1" ht="14.5" outlineLevel="1">
      <c r="B13" s="54">
        <f t="shared" ref="B13:B76" si="0">B12+1</f>
        <v>2</v>
      </c>
      <c r="C13" s="55">
        <f>$C$11*(1+Premissas!$C$17)^(B13/12)-1</f>
        <v>101476.65896568255</v>
      </c>
      <c r="D13" s="56">
        <f t="shared" ref="D13:D34" si="1">D12</f>
        <v>2000</v>
      </c>
      <c r="E13" s="56">
        <f>IF(-Financiamento!I22-Investimentos!D13&gt;0,-Financiamento!I22-Investimentos!D13,0)</f>
        <v>2542.5914382082647</v>
      </c>
      <c r="F13" s="93">
        <f>FV((1+Premissas!$C$17)^(1/12)-1,Premissas!$C$23-B12,0,-E13)</f>
        <v>35381.033230097717</v>
      </c>
      <c r="G13" s="95">
        <v>6</v>
      </c>
      <c r="I13" s="54">
        <f t="shared" ref="I13:I41" si="2">I12+1</f>
        <v>2</v>
      </c>
      <c r="J13" s="106">
        <f>J12*(1+$L$6)</f>
        <v>556776.28125</v>
      </c>
      <c r="K13" s="106">
        <f>J12*-$K$11</f>
        <v>-1582.875</v>
      </c>
      <c r="L13" s="106">
        <f>J13+K13</f>
        <v>555193.40625</v>
      </c>
    </row>
    <row r="14" spans="2:12" s="38" customFormat="1" ht="14.5" outlineLevel="1">
      <c r="B14" s="54">
        <f t="shared" si="0"/>
        <v>3</v>
      </c>
      <c r="C14" s="55">
        <f>$C$11*(1+Premissas!$C$17)^(B14/12)-1</f>
        <v>102223.65642931018</v>
      </c>
      <c r="D14" s="56">
        <f t="shared" si="1"/>
        <v>2000</v>
      </c>
      <c r="E14" s="56">
        <f>IF(-Financiamento!I23-Investimentos!D14&gt;0,-Financiamento!I23-Investimentos!D14,0)</f>
        <v>2538.722878948417</v>
      </c>
      <c r="F14" s="93">
        <f>FV((1+Premissas!$C$17)^(1/12)-1,Premissas!$C$23-B13,0,-E14)</f>
        <v>35069.050562539836</v>
      </c>
      <c r="G14" s="95">
        <v>6</v>
      </c>
      <c r="I14" s="54">
        <f t="shared" si="2"/>
        <v>3</v>
      </c>
      <c r="J14" s="106">
        <f t="shared" ref="J14:J41" si="3">J13*(1+$L$6)</f>
        <v>587538.17078906251</v>
      </c>
      <c r="K14" s="106">
        <f t="shared" ref="K14:K41" si="4">J13*-$K$11</f>
        <v>-1670.32884375</v>
      </c>
      <c r="L14" s="106">
        <f t="shared" ref="L14:L41" si="5">J14+K14</f>
        <v>585867.84194531257</v>
      </c>
    </row>
    <row r="15" spans="2:12" s="38" customFormat="1" ht="14.5" outlineLevel="1">
      <c r="B15" s="54">
        <f t="shared" si="0"/>
        <v>4</v>
      </c>
      <c r="C15" s="55">
        <f>$C$11*(1+Premissas!$C$17)^(B15/12)-1</f>
        <v>102976.1526915537</v>
      </c>
      <c r="D15" s="56">
        <f t="shared" si="1"/>
        <v>2000</v>
      </c>
      <c r="E15" s="56">
        <f>IF(-Financiamento!I24-Investimentos!D15&gt;0,-Financiamento!I24-Investimentos!D15,0)</f>
        <v>2534.8375280655482</v>
      </c>
      <c r="F15" s="93">
        <f>FV((1+Premissas!$C$17)^(1/12)-1,Premissas!$C$23-B14,0,-E15)</f>
        <v>34759.507921798911</v>
      </c>
      <c r="G15" s="95">
        <v>6</v>
      </c>
      <c r="I15" s="54">
        <f t="shared" si="2"/>
        <v>4</v>
      </c>
      <c r="J15" s="106">
        <f t="shared" si="3"/>
        <v>619999.65472515824</v>
      </c>
      <c r="K15" s="106">
        <f t="shared" si="4"/>
        <v>-1762.6145123671877</v>
      </c>
      <c r="L15" s="106">
        <f t="shared" si="5"/>
        <v>618237.04021279106</v>
      </c>
    </row>
    <row r="16" spans="2:12" s="38" customFormat="1" ht="14.5" outlineLevel="1">
      <c r="B16" s="54">
        <f t="shared" si="0"/>
        <v>5</v>
      </c>
      <c r="C16" s="55">
        <f>$C$11*(1+Premissas!$C$17)^(B16/12)-1</f>
        <v>103734.18823017605</v>
      </c>
      <c r="D16" s="56">
        <f t="shared" si="1"/>
        <v>2000</v>
      </c>
      <c r="E16" s="56">
        <f>IF(-Financiamento!I25-Investimentos!D16&gt;0,-Financiamento!I25-Investimentos!D16,0)</f>
        <v>2530.9353495650184</v>
      </c>
      <c r="F16" s="93">
        <f>FV((1+Premissas!$C$17)^(1/12)-1,Premissas!$C$23-B15,0,-E16)</f>
        <v>34452.387499265591</v>
      </c>
      <c r="G16" s="95">
        <v>6</v>
      </c>
      <c r="I16" s="54">
        <f t="shared" si="2"/>
        <v>5</v>
      </c>
      <c r="J16" s="106">
        <f t="shared" si="3"/>
        <v>654254.63564872323</v>
      </c>
      <c r="K16" s="106">
        <f t="shared" si="4"/>
        <v>-1859.9989641754748</v>
      </c>
      <c r="L16" s="106">
        <f t="shared" si="5"/>
        <v>652394.63668454776</v>
      </c>
    </row>
    <row r="17" spans="2:12" s="38" customFormat="1" ht="14.5" outlineLevel="1">
      <c r="B17" s="54">
        <f t="shared" si="0"/>
        <v>6</v>
      </c>
      <c r="C17" s="55">
        <f>$C$11*(1+Premissas!$C$17)^(B17/12)-1</f>
        <v>104497.80382090506</v>
      </c>
      <c r="D17" s="56">
        <f t="shared" si="1"/>
        <v>2000</v>
      </c>
      <c r="E17" s="56">
        <f>IF(-Financiamento!I26-Investimentos!D17&gt;0,-Financiamento!I26-Investimentos!D17,0)</f>
        <v>2527.0163073883223</v>
      </c>
      <c r="F17" s="93">
        <f>FV((1+Premissas!$C$17)^(1/12)-1,Premissas!$C$23-B16,0,-E17)</f>
        <v>34147.671610309517</v>
      </c>
      <c r="G17" s="95">
        <v>6</v>
      </c>
      <c r="I17" s="54">
        <f t="shared" si="2"/>
        <v>6</v>
      </c>
      <c r="J17" s="106">
        <f t="shared" si="3"/>
        <v>690402.20426831522</v>
      </c>
      <c r="K17" s="106">
        <f t="shared" si="4"/>
        <v>-1962.7639069461698</v>
      </c>
      <c r="L17" s="106">
        <f t="shared" si="5"/>
        <v>688439.44036136905</v>
      </c>
    </row>
    <row r="18" spans="2:12" s="38" customFormat="1" ht="14.5" outlineLevel="1">
      <c r="B18" s="54">
        <f t="shared" si="0"/>
        <v>7</v>
      </c>
      <c r="C18" s="55">
        <f>$C$11*(1+Premissas!$C$17)^(B18/12)-1</f>
        <v>105267.04053962691</v>
      </c>
      <c r="D18" s="56">
        <f t="shared" si="1"/>
        <v>2000</v>
      </c>
      <c r="E18" s="56">
        <f>IF(-Financiamento!I27-Investimentos!D18&gt;0,-Financiamento!I27-Investimentos!D18,0)</f>
        <v>2523.0803654129759</v>
      </c>
      <c r="F18" s="93">
        <f>FV((1+Premissas!$C$17)^(1/12)-1,Premissas!$C$23-B17,0,-E18)</f>
        <v>33845.342693447077</v>
      </c>
      <c r="G18" s="95">
        <v>6</v>
      </c>
      <c r="I18" s="54">
        <f t="shared" si="2"/>
        <v>7</v>
      </c>
      <c r="J18" s="106">
        <f t="shared" si="3"/>
        <v>728546.92605413962</v>
      </c>
      <c r="K18" s="106">
        <f t="shared" si="4"/>
        <v>-2071.2066128049455</v>
      </c>
      <c r="L18" s="106">
        <f t="shared" si="5"/>
        <v>726475.71944133472</v>
      </c>
    </row>
    <row r="19" spans="2:12" s="38" customFormat="1" ht="14.5" outlineLevel="1">
      <c r="B19" s="54">
        <f t="shared" si="0"/>
        <v>8</v>
      </c>
      <c r="C19" s="55">
        <f>$C$11*(1+Premissas!$C$17)^(B19/12)-1</f>
        <v>106041.93976459566</v>
      </c>
      <c r="D19" s="56">
        <f t="shared" si="1"/>
        <v>2000</v>
      </c>
      <c r="E19" s="56">
        <f>IF(-Financiamento!I28-Investimentos!D19&gt;0,-Financiamento!I28-Investimentos!D19,0)</f>
        <v>2519.1274874524206</v>
      </c>
      <c r="F19" s="93">
        <f>FV((1+Premissas!$C$17)^(1/12)-1,Premissas!$C$23-B18,0,-E19)</f>
        <v>33545.383309514844</v>
      </c>
      <c r="G19" s="95">
        <v>6</v>
      </c>
      <c r="I19" s="54">
        <f t="shared" si="2"/>
        <v>8</v>
      </c>
      <c r="J19" s="106">
        <f t="shared" si="3"/>
        <v>768799.14371863089</v>
      </c>
      <c r="K19" s="106">
        <f t="shared" si="4"/>
        <v>-2185.6407781624189</v>
      </c>
      <c r="L19" s="106">
        <f t="shared" si="5"/>
        <v>766613.50294046849</v>
      </c>
    </row>
    <row r="20" spans="2:12" s="38" customFormat="1" ht="14.5" outlineLevel="1">
      <c r="B20" s="54">
        <f t="shared" si="0"/>
        <v>9</v>
      </c>
      <c r="C20" s="55">
        <f>$C$11*(1+Premissas!$C$17)^(B20/12)-1</f>
        <v>106822.54317865903</v>
      </c>
      <c r="D20" s="56">
        <f t="shared" si="1"/>
        <v>2000</v>
      </c>
      <c r="E20" s="56">
        <f>IF(-Financiamento!I29-Investimentos!D20&gt;0,-Financiamento!I29-Investimentos!D20,0)</f>
        <v>2515.1576372559148</v>
      </c>
      <c r="F20" s="93">
        <f>FV((1+Premissas!$C$17)^(1/12)-1,Premissas!$C$23-B19,0,-E20)</f>
        <v>33247.776140848211</v>
      </c>
      <c r="G20" s="95">
        <v>6</v>
      </c>
      <c r="I20" s="54">
        <f t="shared" si="2"/>
        <v>9</v>
      </c>
      <c r="J20" s="106">
        <f t="shared" si="3"/>
        <v>811275.29640908528</v>
      </c>
      <c r="K20" s="106">
        <f t="shared" si="4"/>
        <v>-2306.3974311558927</v>
      </c>
      <c r="L20" s="106">
        <f t="shared" si="5"/>
        <v>808968.89897792938</v>
      </c>
    </row>
    <row r="21" spans="2:12" s="38" customFormat="1" ht="14.5" outlineLevel="1">
      <c r="B21" s="54">
        <f t="shared" si="0"/>
        <v>10</v>
      </c>
      <c r="C21" s="55">
        <f>$C$11*(1+Premissas!$C$17)^(B21/12)-1</f>
        <v>107608.89277150054</v>
      </c>
      <c r="D21" s="56">
        <f t="shared" si="1"/>
        <v>2000</v>
      </c>
      <c r="E21" s="56">
        <f>IF(-Financiamento!I30-Investimentos!D21&gt;0,-Financiamento!I30-Investimentos!D21,0)</f>
        <v>2511.1707785084418</v>
      </c>
      <c r="F21" s="93">
        <f>FV((1+Premissas!$C$17)^(1/12)-1,Premissas!$C$23-B20,0,-E21)</f>
        <v>32952.503990465579</v>
      </c>
      <c r="G21" s="95">
        <v>6</v>
      </c>
      <c r="I21" s="54">
        <f t="shared" si="2"/>
        <v>10</v>
      </c>
      <c r="J21" s="106">
        <f t="shared" si="3"/>
        <v>856098.25653568725</v>
      </c>
      <c r="K21" s="106">
        <f t="shared" si="4"/>
        <v>-2433.8258892272561</v>
      </c>
      <c r="L21" s="106">
        <f t="shared" si="5"/>
        <v>853664.43064646004</v>
      </c>
    </row>
    <row r="22" spans="2:12" s="38" customFormat="1" ht="14.5" outlineLevel="1">
      <c r="B22" s="54">
        <f t="shared" si="0"/>
        <v>11</v>
      </c>
      <c r="C22" s="55">
        <f>$C$11*(1+Premissas!$C$17)^(B22/12)-1</f>
        <v>108401.03084189826</v>
      </c>
      <c r="D22" s="56">
        <f t="shared" si="1"/>
        <v>2000</v>
      </c>
      <c r="E22" s="56">
        <f>IF(-Financiamento!I31-Investimentos!D22&gt;0,-Financiamento!I31-Investimentos!D22,0)</f>
        <v>2507.1668748305974</v>
      </c>
      <c r="F22" s="93">
        <f>FV((1+Premissas!$C$17)^(1/12)-1,Premissas!$C$23-B21,0,-E22)</f>
        <v>32659.54978125757</v>
      </c>
      <c r="G22" s="95">
        <v>6</v>
      </c>
      <c r="I22" s="54">
        <f t="shared" si="2"/>
        <v>11</v>
      </c>
      <c r="J22" s="106">
        <f t="shared" si="3"/>
        <v>903397.68520928395</v>
      </c>
      <c r="K22" s="106">
        <f t="shared" si="4"/>
        <v>-2568.2947696070619</v>
      </c>
      <c r="L22" s="106">
        <f t="shared" si="5"/>
        <v>900829.39043967694</v>
      </c>
    </row>
    <row r="23" spans="2:12" s="38" customFormat="1" ht="14.5" outlineLevel="1">
      <c r="B23" s="54">
        <f t="shared" si="0"/>
        <v>12</v>
      </c>
      <c r="C23" s="55">
        <f>$C$11*(1+Premissas!$C$17)^(B23/12)-1</f>
        <v>109199.00000000001</v>
      </c>
      <c r="D23" s="88">
        <f t="shared" si="1"/>
        <v>2000</v>
      </c>
      <c r="E23" s="56">
        <f>IF(-Financiamento!I32-Investimentos!D23&gt;0,-Financiamento!I32-Investimentos!D23,0)</f>
        <v>2503.1458897784896</v>
      </c>
      <c r="F23" s="93">
        <f>FV((1+Premissas!$C$17)^(1/12)-1,Premissas!$C$23-B22,0,-E23)</f>
        <v>32368.896555181749</v>
      </c>
      <c r="G23" s="95">
        <v>6</v>
      </c>
      <c r="I23" s="54">
        <f t="shared" si="2"/>
        <v>12</v>
      </c>
      <c r="J23" s="106">
        <f t="shared" si="3"/>
        <v>953310.40731709695</v>
      </c>
      <c r="K23" s="106">
        <f t="shared" si="4"/>
        <v>-2710.1930556278521</v>
      </c>
      <c r="L23" s="106">
        <f t="shared" si="5"/>
        <v>950600.21426146908</v>
      </c>
    </row>
    <row r="24" spans="2:12" s="38" customFormat="1" ht="14.5" outlineLevel="1">
      <c r="B24" s="54">
        <f t="shared" si="0"/>
        <v>13</v>
      </c>
      <c r="C24" s="55">
        <f>$C$11*(1+Premissas!$C$17)^(B24/12)-1</f>
        <v>110002.84316961553</v>
      </c>
      <c r="D24" s="89">
        <f>D23*((1+Premissas!$C$15)*(1+Premissas!$C$12))</f>
        <v>2110.5</v>
      </c>
      <c r="E24" s="56">
        <f>IF(-Financiamento!I33-Investimentos!D24&gt;0,-Financiamento!I33-Investimentos!D24,0)</f>
        <v>2388.6077868436387</v>
      </c>
      <c r="F24" s="93">
        <f>FV((1+Premissas!$C$17)^(1/12)-1,Premissas!$C$23-B23,0,-E24)</f>
        <v>30662.061928731655</v>
      </c>
      <c r="G24" s="95">
        <v>6</v>
      </c>
      <c r="I24" s="54">
        <f t="shared" si="2"/>
        <v>13</v>
      </c>
      <c r="J24" s="106">
        <f t="shared" si="3"/>
        <v>1005980.8073213666</v>
      </c>
      <c r="K24" s="106">
        <f t="shared" si="4"/>
        <v>-2859.9312219512908</v>
      </c>
      <c r="L24" s="106">
        <f t="shared" si="5"/>
        <v>1003120.8760994154</v>
      </c>
    </row>
    <row r="25" spans="2:12" s="38" customFormat="1" ht="14.5" outlineLevel="1">
      <c r="B25" s="54">
        <f t="shared" si="0"/>
        <v>14</v>
      </c>
      <c r="C25" s="55">
        <f>$C$11*(1+Premissas!$C$17)^(B25/12)-1</f>
        <v>110812.60359052534</v>
      </c>
      <c r="D25" s="56">
        <f t="shared" si="1"/>
        <v>2110.5</v>
      </c>
      <c r="E25" s="56">
        <f>IF(-Financiamento!I34-Investimentos!D25&gt;0,-Financiamento!I34-Investimentos!D25,0)</f>
        <v>2384.5525294528697</v>
      </c>
      <c r="F25" s="93">
        <f>FV((1+Premissas!$C$17)^(1/12)-1,Premissas!$C$23-B24,0,-E25)</f>
        <v>30386.325576183579</v>
      </c>
      <c r="G25" s="95">
        <v>6</v>
      </c>
      <c r="I25" s="54">
        <f t="shared" si="2"/>
        <v>14</v>
      </c>
      <c r="J25" s="106">
        <f t="shared" si="3"/>
        <v>1061561.2469258721</v>
      </c>
      <c r="K25" s="106">
        <f t="shared" si="4"/>
        <v>-3017.9424219641</v>
      </c>
      <c r="L25" s="106">
        <f t="shared" si="5"/>
        <v>1058543.3045039079</v>
      </c>
    </row>
    <row r="26" spans="2:12" s="38" customFormat="1" ht="14.5" outlineLevel="1">
      <c r="B26" s="54">
        <f t="shared" si="0"/>
        <v>15</v>
      </c>
      <c r="C26" s="55">
        <f>$C$11*(1+Premissas!$C$17)^(B26/12)-1</f>
        <v>111628.32482080672</v>
      </c>
      <c r="D26" s="56">
        <f t="shared" si="1"/>
        <v>2110.5</v>
      </c>
      <c r="E26" s="56">
        <f>IF(-Financiamento!I35-Investimentos!D26&gt;0,-Financiamento!I35-Investimentos!D26,0)</f>
        <v>2380.4800809682138</v>
      </c>
      <c r="F26" s="93">
        <f>FV((1+Premissas!$C$17)^(1/12)-1,Premissas!$C$23-B25,0,-E26)</f>
        <v>30112.764295504563</v>
      </c>
      <c r="G26" s="95">
        <v>6</v>
      </c>
      <c r="I26" s="54">
        <f t="shared" si="2"/>
        <v>15</v>
      </c>
      <c r="J26" s="106">
        <f t="shared" si="3"/>
        <v>1120212.5058185265</v>
      </c>
      <c r="K26" s="106">
        <f t="shared" si="4"/>
        <v>-3184.6837407776161</v>
      </c>
      <c r="L26" s="106">
        <f t="shared" si="5"/>
        <v>1117027.8220777488</v>
      </c>
    </row>
    <row r="27" spans="2:12" s="38" customFormat="1" ht="14.5" outlineLevel="1">
      <c r="B27" s="54">
        <f t="shared" si="0"/>
        <v>16</v>
      </c>
      <c r="C27" s="55">
        <f>$C$11*(1+Premissas!$C$17)^(B27/12)-1</f>
        <v>112450.05073917664</v>
      </c>
      <c r="D27" s="56">
        <f t="shared" si="1"/>
        <v>2110.5</v>
      </c>
      <c r="E27" s="56">
        <f>IF(-Financiamento!I36-Investimentos!D27&gt;0,-Financiamento!I36-Investimentos!D27,0)</f>
        <v>2376.390404686801</v>
      </c>
      <c r="F27" s="93">
        <f>FV((1+Premissas!$C$17)^(1/12)-1,Premissas!$C$23-B26,0,-E27)</f>
        <v>29841.362150459841</v>
      </c>
      <c r="G27" s="95">
        <v>6</v>
      </c>
      <c r="I27" s="54">
        <f t="shared" si="2"/>
        <v>16</v>
      </c>
      <c r="J27" s="106">
        <f t="shared" si="3"/>
        <v>1182104.246765</v>
      </c>
      <c r="K27" s="106">
        <f t="shared" si="4"/>
        <v>-3360.6375174555797</v>
      </c>
      <c r="L27" s="106">
        <f t="shared" si="5"/>
        <v>1178743.6092475445</v>
      </c>
    </row>
    <row r="28" spans="2:12" s="38" customFormat="1" ht="14.5" outlineLevel="1">
      <c r="B28" s="54">
        <f t="shared" si="0"/>
        <v>17</v>
      </c>
      <c r="C28" s="55">
        <f>$C$11*(1+Premissas!$C$17)^(B28/12)-1</f>
        <v>113277.82554735224</v>
      </c>
      <c r="D28" s="56">
        <f t="shared" si="1"/>
        <v>2110.5</v>
      </c>
      <c r="E28" s="56">
        <f>IF(-Financiamento!I37-Investimentos!D28&gt;0,-Financiamento!I37-Investimentos!D28,0)</f>
        <v>2372.2834638407603</v>
      </c>
      <c r="F28" s="93">
        <f>FV((1+Premissas!$C$17)^(1/12)-1,Premissas!$C$23-B27,0,-E28)</f>
        <v>29572.103315888173</v>
      </c>
      <c r="G28" s="95">
        <v>6</v>
      </c>
      <c r="I28" s="54">
        <f t="shared" si="2"/>
        <v>17</v>
      </c>
      <c r="J28" s="106">
        <f t="shared" si="3"/>
        <v>1247415.5063987663</v>
      </c>
      <c r="K28" s="106">
        <f t="shared" si="4"/>
        <v>-3546.3127402950004</v>
      </c>
      <c r="L28" s="106">
        <f t="shared" si="5"/>
        <v>1243869.1936584713</v>
      </c>
    </row>
    <row r="29" spans="2:12" s="38" customFormat="1" ht="14.5" outlineLevel="1">
      <c r="B29" s="54">
        <f t="shared" si="0"/>
        <v>18</v>
      </c>
      <c r="C29" s="55">
        <f>$C$11*(1+Premissas!$C$17)^(B29/12)-1</f>
        <v>114111.69377242832</v>
      </c>
      <c r="D29" s="56">
        <f t="shared" si="1"/>
        <v>2110.5</v>
      </c>
      <c r="E29" s="56">
        <f>IF(-Financiamento!I38-Investimentos!D29&gt;0,-Financiamento!I38-Investimentos!D29,0)</f>
        <v>2368.159221597115</v>
      </c>
      <c r="F29" s="93">
        <f>FV((1+Premissas!$C$17)^(1/12)-1,Premissas!$C$23-B28,0,-E29)</f>
        <v>29304.972076957016</v>
      </c>
      <c r="G29" s="95">
        <v>6</v>
      </c>
      <c r="I29" s="54">
        <f t="shared" si="2"/>
        <v>18</v>
      </c>
      <c r="J29" s="106">
        <f t="shared" si="3"/>
        <v>1316335.2131272983</v>
      </c>
      <c r="K29" s="106">
        <f t="shared" si="4"/>
        <v>-3742.2465191962988</v>
      </c>
      <c r="L29" s="106">
        <f t="shared" si="5"/>
        <v>1312592.966608102</v>
      </c>
    </row>
    <row r="30" spans="2:12" s="38" customFormat="1" ht="14.5" outlineLevel="1">
      <c r="B30" s="54">
        <f t="shared" si="0"/>
        <v>19</v>
      </c>
      <c r="C30" s="55">
        <f>$C$11*(1+Premissas!$C$17)^(B30/12)-1</f>
        <v>114951.70026927259</v>
      </c>
      <c r="D30" s="56">
        <f t="shared" si="1"/>
        <v>2110.5</v>
      </c>
      <c r="E30" s="56">
        <f>IF(-Financiamento!I39-Investimentos!D30&gt;0,-Financiamento!I39-Investimentos!D30,0)</f>
        <v>2364.0176410576732</v>
      </c>
      <c r="F30" s="93">
        <f>FV((1+Premissas!$C$17)^(1/12)-1,Premissas!$C$23-B29,0,-E30)</f>
        <v>29039.952828422371</v>
      </c>
      <c r="G30" s="95">
        <v>6</v>
      </c>
      <c r="I30" s="54">
        <f t="shared" si="2"/>
        <v>19</v>
      </c>
      <c r="J30" s="106">
        <f t="shared" si="3"/>
        <v>1389062.7336525815</v>
      </c>
      <c r="K30" s="106">
        <f t="shared" si="4"/>
        <v>-3949.005639381895</v>
      </c>
      <c r="L30" s="106">
        <f t="shared" si="5"/>
        <v>1385113.7280131995</v>
      </c>
    </row>
    <row r="31" spans="2:12" s="38" customFormat="1" ht="14.5" outlineLevel="1">
      <c r="B31" s="54">
        <f t="shared" si="0"/>
        <v>20</v>
      </c>
      <c r="C31" s="55">
        <f>$C$11*(1+Premissas!$C$17)^(B31/12)-1</f>
        <v>115797.89022293848</v>
      </c>
      <c r="D31" s="56">
        <f t="shared" si="1"/>
        <v>2110.5</v>
      </c>
      <c r="E31" s="56">
        <f>IF(-Financiamento!I40-Investimentos!D31&gt;0,-Financiamento!I40-Investimentos!D31,0)</f>
        <v>2359.8586852589415</v>
      </c>
      <c r="F31" s="93">
        <f>FV((1+Premissas!$C$17)^(1/12)-1,Premissas!$C$23-B30,0,-E31)</f>
        <v>28777.030073893882</v>
      </c>
      <c r="G31" s="95">
        <v>6</v>
      </c>
      <c r="I31" s="54">
        <f t="shared" si="2"/>
        <v>20</v>
      </c>
      <c r="J31" s="106">
        <f t="shared" si="3"/>
        <v>1465808.4496868865</v>
      </c>
      <c r="K31" s="106">
        <f t="shared" si="4"/>
        <v>-4167.1882009577448</v>
      </c>
      <c r="L31" s="106">
        <f t="shared" si="5"/>
        <v>1461641.2614859287</v>
      </c>
    </row>
    <row r="32" spans="2:12" s="38" customFormat="1" ht="14.5" outlineLevel="1">
      <c r="B32" s="54">
        <f t="shared" si="0"/>
        <v>21</v>
      </c>
      <c r="C32" s="55">
        <f>$C$11*(1+Premissas!$C$17)^(B32/12)-1</f>
        <v>116650.30915109567</v>
      </c>
      <c r="D32" s="56">
        <f t="shared" si="1"/>
        <v>2110.5</v>
      </c>
      <c r="E32" s="56">
        <f>IF(-Financiamento!I41-Investimentos!D32&gt;0,-Financiamento!I41-Investimentos!D32,0)</f>
        <v>2355.6823171719952</v>
      </c>
      <c r="F32" s="93">
        <f>FV((1+Premissas!$C$17)^(1/12)-1,Premissas!$C$23-B31,0,-E32)</f>
        <v>28516.188425103945</v>
      </c>
      <c r="G32" s="95">
        <v>6</v>
      </c>
      <c r="I32" s="54">
        <f t="shared" si="2"/>
        <v>21</v>
      </c>
      <c r="J32" s="106">
        <f t="shared" si="3"/>
        <v>1546794.3665320871</v>
      </c>
      <c r="K32" s="106">
        <f t="shared" si="4"/>
        <v>-4397.4253490606598</v>
      </c>
      <c r="L32" s="106">
        <f t="shared" si="5"/>
        <v>1542396.9411830264</v>
      </c>
    </row>
    <row r="33" spans="2:12" s="38" customFormat="1" ht="14.5" outlineLevel="1">
      <c r="B33" s="54">
        <f t="shared" si="0"/>
        <v>22</v>
      </c>
      <c r="C33" s="55">
        <f>$C$11*(1+Premissas!$C$17)^(B33/12)-1</f>
        <v>117509.00290647862</v>
      </c>
      <c r="D33" s="56">
        <f t="shared" si="1"/>
        <v>2110.5</v>
      </c>
      <c r="E33" s="56">
        <f>IF(-Financiamento!I42-Investimentos!D33&gt;0,-Financiamento!I42-Investimentos!D33,0)</f>
        <v>2351.4884997023992</v>
      </c>
      <c r="F33" s="93">
        <f>FV((1+Premissas!$C$17)^(1/12)-1,Premissas!$C$23-B32,0,-E33)</f>
        <v>28257.412601182416</v>
      </c>
      <c r="G33" s="95">
        <v>6</v>
      </c>
      <c r="I33" s="54">
        <f t="shared" si="2"/>
        <v>22</v>
      </c>
      <c r="J33" s="106">
        <f t="shared" si="3"/>
        <v>1632254.755282985</v>
      </c>
      <c r="K33" s="106">
        <f t="shared" si="4"/>
        <v>-4640.3830995962617</v>
      </c>
      <c r="L33" s="106">
        <f t="shared" si="5"/>
        <v>1627614.3721833888</v>
      </c>
    </row>
    <row r="34" spans="2:12" s="38" customFormat="1" ht="14.5" outlineLevel="1">
      <c r="B34" s="54">
        <f t="shared" si="0"/>
        <v>23</v>
      </c>
      <c r="C34" s="55">
        <f>$C$11*(1+Premissas!$C$17)^(B34/12)-1</f>
        <v>118374.0176793529</v>
      </c>
      <c r="D34" s="56">
        <f t="shared" si="1"/>
        <v>2110.5</v>
      </c>
      <c r="E34" s="56">
        <f>IF(-Financiamento!I43-Investimentos!D34&gt;0,-Financiamento!I43-Investimentos!D34,0)</f>
        <v>2347.2771956900879</v>
      </c>
      <c r="F34" s="93">
        <f>FV((1+Premissas!$C$17)^(1/12)-1,Premissas!$C$23-B33,0,-E34)</f>
        <v>28000.687427935358</v>
      </c>
      <c r="G34" s="95">
        <v>6</v>
      </c>
      <c r="I34" s="54">
        <f t="shared" si="2"/>
        <v>23</v>
      </c>
      <c r="J34" s="106">
        <f t="shared" si="3"/>
        <v>1722436.83051237</v>
      </c>
      <c r="K34" s="106">
        <f t="shared" si="4"/>
        <v>-4896.7642658489549</v>
      </c>
      <c r="L34" s="106">
        <f t="shared" si="5"/>
        <v>1717540.066246521</v>
      </c>
    </row>
    <row r="35" spans="2:12" s="38" customFormat="1" ht="14.5" outlineLevel="1">
      <c r="B35" s="54">
        <f t="shared" si="0"/>
        <v>24</v>
      </c>
      <c r="C35" s="55">
        <f>$C$11*(1+Premissas!$C$17)^(B35/12)-1</f>
        <v>119245.40000000002</v>
      </c>
      <c r="D35" s="88">
        <f t="shared" ref="D35:D46" si="6">D34</f>
        <v>2110.5</v>
      </c>
      <c r="E35" s="56">
        <f>IF(-Financiamento!I44-Investimentos!D35&gt;0,-Financiamento!I44-Investimentos!D35,0)</f>
        <v>2343.0483679092686</v>
      </c>
      <c r="F35" s="93">
        <f>FV((1+Premissas!$C$17)^(1/12)-1,Premissas!$C$23-B34,0,-E35)</f>
        <v>27745.997837128834</v>
      </c>
      <c r="G35" s="95">
        <v>6</v>
      </c>
      <c r="I35" s="54">
        <f t="shared" si="2"/>
        <v>24</v>
      </c>
      <c r="J35" s="106">
        <f t="shared" si="3"/>
        <v>1817601.4653981784</v>
      </c>
      <c r="K35" s="106">
        <f t="shared" si="4"/>
        <v>-5167.3104915371105</v>
      </c>
      <c r="L35" s="106">
        <f t="shared" si="5"/>
        <v>1812434.1549066412</v>
      </c>
    </row>
    <row r="36" spans="2:12" s="38" customFormat="1" ht="14.5" outlineLevel="1">
      <c r="B36" s="54">
        <f t="shared" si="0"/>
        <v>25</v>
      </c>
      <c r="C36" s="55">
        <f>$C$11*(1+Premissas!$C$17)^(B36/12)-1</f>
        <v>120123.19674122016</v>
      </c>
      <c r="D36" s="89">
        <f>D35*((1+Premissas!$C$15)*(1+Premissas!$C$12))</f>
        <v>2227.105125</v>
      </c>
      <c r="E36" s="56">
        <f>IF(-Financiamento!I45-Investimentos!D36&gt;0,-Financiamento!I45-Investimentos!D36,0)</f>
        <v>2222.1968540683165</v>
      </c>
      <c r="F36" s="93">
        <f>FV((1+Premissas!$C$17)^(1/12)-1,Premissas!$C$23-B35,0,-E36)</f>
        <v>26122.600143229651</v>
      </c>
      <c r="G36" s="95">
        <v>6</v>
      </c>
      <c r="I36" s="54">
        <f t="shared" si="2"/>
        <v>25</v>
      </c>
      <c r="J36" s="106">
        <f t="shared" si="3"/>
        <v>1918023.9463614279</v>
      </c>
      <c r="K36" s="106">
        <f t="shared" si="4"/>
        <v>-5452.804396194535</v>
      </c>
      <c r="L36" s="106">
        <f t="shared" si="5"/>
        <v>1912571.1419652333</v>
      </c>
    </row>
    <row r="37" spans="2:12" s="38" customFormat="1" ht="14.5" outlineLevel="1">
      <c r="B37" s="54">
        <f t="shared" si="0"/>
        <v>26</v>
      </c>
      <c r="C37" s="55">
        <f>$C$11*(1+Premissas!$C$17)^(B37/12)-1</f>
        <v>121007.45512085367</v>
      </c>
      <c r="D37" s="56">
        <f t="shared" si="6"/>
        <v>2227.105125</v>
      </c>
      <c r="E37" s="56">
        <f>IF(-Financiamento!I46-Investimentos!D37&gt;0,-Financiamento!I46-Investimentos!D37,0)</f>
        <v>2217.9328668096668</v>
      </c>
      <c r="F37" s="93">
        <f>FV((1+Premissas!$C$17)^(1/12)-1,Premissas!$C$23-B36,0,-E37)</f>
        <v>25881.953409488571</v>
      </c>
      <c r="G37" s="95">
        <v>6</v>
      </c>
      <c r="I37" s="54">
        <f t="shared" si="2"/>
        <v>26</v>
      </c>
      <c r="J37" s="106">
        <f t="shared" si="3"/>
        <v>2023994.7693978967</v>
      </c>
      <c r="K37" s="106">
        <f t="shared" si="4"/>
        <v>-5754.071839084284</v>
      </c>
      <c r="L37" s="106">
        <f t="shared" si="5"/>
        <v>2018240.6975588123</v>
      </c>
    </row>
    <row r="38" spans="2:12" s="38" customFormat="1" ht="14.5" outlineLevel="1">
      <c r="B38" s="54">
        <f t="shared" si="0"/>
        <v>27</v>
      </c>
      <c r="C38" s="55">
        <f>$C$11*(1+Premissas!$C$17)^(B38/12)-1</f>
        <v>121898.22270432094</v>
      </c>
      <c r="D38" s="56">
        <f t="shared" si="6"/>
        <v>2227.105125</v>
      </c>
      <c r="E38" s="56">
        <f>IF(-Financiamento!I47-Investimentos!D38&gt;0,-Financiamento!I47-Investimentos!D38,0)</f>
        <v>2213.6512437097126</v>
      </c>
      <c r="F38" s="93">
        <f>FV((1+Premissas!$C$17)^(1/12)-1,Premissas!$C$23-B37,0,-E38)</f>
        <v>25643.224487652486</v>
      </c>
      <c r="G38" s="95">
        <v>6</v>
      </c>
      <c r="I38" s="54">
        <f t="shared" si="2"/>
        <v>27</v>
      </c>
      <c r="J38" s="106">
        <f t="shared" si="3"/>
        <v>2135820.4804071304</v>
      </c>
      <c r="K38" s="106">
        <f t="shared" si="4"/>
        <v>-6071.9843081936906</v>
      </c>
      <c r="L38" s="106">
        <f t="shared" si="5"/>
        <v>2129748.4960989365</v>
      </c>
    </row>
    <row r="39" spans="2:12" s="38" customFormat="1" ht="14.5" outlineLevel="1">
      <c r="B39" s="54">
        <f t="shared" si="0"/>
        <v>28</v>
      </c>
      <c r="C39" s="55">
        <f>$C$11*(1+Premissas!$C$17)^(B39/12)-1</f>
        <v>122795.54740718091</v>
      </c>
      <c r="D39" s="56">
        <f t="shared" si="6"/>
        <v>2227.105125</v>
      </c>
      <c r="E39" s="56">
        <f>IF(-Financiamento!I48-Investimentos!D39&gt;0,-Financiamento!I48-Investimentos!D39,0)</f>
        <v>2209.3519472787066</v>
      </c>
      <c r="F39" s="93">
        <f>FV((1+Premissas!$C$17)^(1/12)-1,Premissas!$C$23-B38,0,-E39)</f>
        <v>25406.399261119077</v>
      </c>
      <c r="G39" s="95">
        <v>6</v>
      </c>
      <c r="I39" s="54">
        <f t="shared" si="2"/>
        <v>28</v>
      </c>
      <c r="J39" s="106">
        <f t="shared" si="3"/>
        <v>2253824.5619496242</v>
      </c>
      <c r="K39" s="106">
        <f t="shared" si="4"/>
        <v>-6407.4614412213914</v>
      </c>
      <c r="L39" s="106">
        <f t="shared" si="5"/>
        <v>2247417.100508403</v>
      </c>
    </row>
    <row r="40" spans="2:12" s="38" customFormat="1" ht="14.5" outlineLevel="1">
      <c r="B40" s="54">
        <f t="shared" si="0"/>
        <v>29</v>
      </c>
      <c r="C40" s="55">
        <f>$C$11*(1+Premissas!$C$17)^(B40/12)-1</f>
        <v>123699.47749770868</v>
      </c>
      <c r="D40" s="56">
        <f t="shared" si="6"/>
        <v>2227.105125</v>
      </c>
      <c r="E40" s="56">
        <f>IF(-Financiamento!I49-Investimentos!D40&gt;0,-Financiamento!I49-Investimentos!D40,0)</f>
        <v>2205.0349399606421</v>
      </c>
      <c r="F40" s="93">
        <f>FV((1+Premissas!$C$17)^(1/12)-1,Premissas!$C$23-B39,0,-E40)</f>
        <v>25171.463711825018</v>
      </c>
      <c r="G40" s="95">
        <v>6</v>
      </c>
      <c r="I40" s="54">
        <f t="shared" si="2"/>
        <v>29</v>
      </c>
      <c r="J40" s="106">
        <f t="shared" si="3"/>
        <v>2378348.368997341</v>
      </c>
      <c r="K40" s="106">
        <f t="shared" si="4"/>
        <v>-6761.4736858488732</v>
      </c>
      <c r="L40" s="106">
        <f t="shared" si="5"/>
        <v>2371586.895311492</v>
      </c>
    </row>
    <row r="41" spans="2:12" s="38" customFormat="1" ht="15" outlineLevel="1">
      <c r="B41" s="54">
        <f t="shared" si="0"/>
        <v>30</v>
      </c>
      <c r="C41" s="55">
        <f>$C$11*(1+Premissas!$C$17)^(B41/12)-1</f>
        <v>124610.06159949173</v>
      </c>
      <c r="D41" s="56">
        <f t="shared" si="6"/>
        <v>2227.105125</v>
      </c>
      <c r="E41" s="56">
        <f>IF(-Financiamento!I50-Investimentos!D41&gt;0,-Financiamento!I50-Investimentos!D41,0)</f>
        <v>2200.700184133163</v>
      </c>
      <c r="F41" s="93">
        <f>FV((1+Premissas!$C$17)^(1/12)-1,Premissas!$C$23-B40,0,-E41)</f>
        <v>24938.403919585944</v>
      </c>
      <c r="G41" s="95">
        <v>6</v>
      </c>
      <c r="I41" s="67">
        <f t="shared" si="2"/>
        <v>30</v>
      </c>
      <c r="J41" s="109">
        <f t="shared" si="3"/>
        <v>2509752.1163844443</v>
      </c>
      <c r="K41" s="109">
        <f t="shared" si="4"/>
        <v>-7135.0451069920236</v>
      </c>
      <c r="L41" s="111">
        <f t="shared" si="5"/>
        <v>2502617.0712774522</v>
      </c>
    </row>
    <row r="42" spans="2:12" s="38" customFormat="1" ht="14.5" outlineLevel="1">
      <c r="B42" s="54">
        <f t="shared" si="0"/>
        <v>31</v>
      </c>
      <c r="C42" s="55">
        <f>$C$11*(1+Premissas!$C$17)^(B42/12)-1</f>
        <v>125527.34869404568</v>
      </c>
      <c r="D42" s="56">
        <f t="shared" si="6"/>
        <v>2227.105125</v>
      </c>
      <c r="E42" s="56">
        <f>IF(-Financiamento!I51-Investimentos!D42&gt;0,-Financiamento!I51-Investimentos!D42,0)</f>
        <v>2196.3476421074529</v>
      </c>
      <c r="F42" s="93">
        <f>FV((1+Premissas!$C$17)^(1/12)-1,Premissas!$C$23-B41,0,-E42)</f>
        <v>24707.206061440294</v>
      </c>
      <c r="G42" s="95">
        <v>6</v>
      </c>
      <c r="I42" s="54" t="s">
        <v>11</v>
      </c>
      <c r="L42" s="108"/>
    </row>
    <row r="43" spans="2:12" s="38" customFormat="1" ht="14.5" outlineLevel="1">
      <c r="B43" s="54">
        <f t="shared" si="0"/>
        <v>32</v>
      </c>
      <c r="C43" s="55">
        <f>$C$11*(1+Premissas!$C$17)^(B43/12)-1</f>
        <v>126451.38812344884</v>
      </c>
      <c r="D43" s="56">
        <f t="shared" si="6"/>
        <v>2227.105125</v>
      </c>
      <c r="E43" s="56">
        <f>IF(-Financiamento!I52-Investimentos!D43&gt;0,-Financiamento!I52-Investimentos!D43,0)</f>
        <v>2191.9772761281247</v>
      </c>
      <c r="F43" s="93">
        <f>FV((1+Premissas!$C$17)^(1/12)-1,Premissas!$C$23-B42,0,-E43)</f>
        <v>24477.856410997541</v>
      </c>
      <c r="G43" s="95">
        <v>6</v>
      </c>
      <c r="I43" s="71"/>
      <c r="J43" s="71"/>
      <c r="K43" s="71"/>
      <c r="L43" s="71"/>
    </row>
    <row r="44" spans="2:12" s="38" customFormat="1" ht="14.5" outlineLevel="1">
      <c r="B44" s="54">
        <f t="shared" si="0"/>
        <v>33</v>
      </c>
      <c r="C44" s="55">
        <f>$C$11*(1+Premissas!$C$17)^(B44/12)-1</f>
        <v>127382.22959299649</v>
      </c>
      <c r="D44" s="56">
        <f t="shared" si="6"/>
        <v>2227.105125</v>
      </c>
      <c r="E44" s="56">
        <f>IF(-Financiamento!I53-Investimentos!D44&gt;0,-Financiamento!I53-Investimentos!D44,0)</f>
        <v>2187.5890483731291</v>
      </c>
      <c r="F44" s="93">
        <f>FV((1+Premissas!$C$17)^(1/12)-1,Premissas!$C$23-B43,0,-E44)</f>
        <v>24250.341337790738</v>
      </c>
      <c r="G44" s="95">
        <v>6</v>
      </c>
    </row>
    <row r="45" spans="2:12" s="38" customFormat="1" ht="14.5" outlineLevel="1">
      <c r="B45" s="54">
        <f t="shared" si="0"/>
        <v>34</v>
      </c>
      <c r="C45" s="55">
        <f>$C$11*(1+Premissas!$C$17)^(B45/12)-1</f>
        <v>128319.92317387467</v>
      </c>
      <c r="D45" s="56">
        <f t="shared" si="6"/>
        <v>2227.105125</v>
      </c>
      <c r="E45" s="56">
        <f>IF(-Financiamento!I54-Investimentos!D45&gt;0,-Financiamento!I54-Investimentos!D45,0)</f>
        <v>2183.1829209536336</v>
      </c>
      <c r="F45" s="93">
        <f>FV((1+Premissas!$C$17)^(1/12)-1,Premissas!$C$23-B44,0,-E45)</f>
        <v>24024.647306633015</v>
      </c>
      <c r="G45" s="95">
        <v>6</v>
      </c>
      <c r="I45" s="54"/>
    </row>
    <row r="46" spans="2:12" s="38" customFormat="1" ht="14.5" outlineLevel="1">
      <c r="B46" s="54">
        <f t="shared" si="0"/>
        <v>35</v>
      </c>
      <c r="C46" s="55">
        <f>$C$11*(1+Premissas!$C$17)^(B46/12)-1</f>
        <v>129264.51930585338</v>
      </c>
      <c r="D46" s="56">
        <f t="shared" si="6"/>
        <v>2227.105125</v>
      </c>
      <c r="E46" s="56">
        <f>IF(-Financiamento!I55-Investimentos!D46&gt;0,-Financiamento!I55-Investimentos!D46,0)</f>
        <v>2178.758855913934</v>
      </c>
      <c r="F46" s="93">
        <f>FV((1+Premissas!$C$17)^(1/12)-1,Premissas!$C$23-B45,0,-E46)</f>
        <v>23800.760876978544</v>
      </c>
      <c r="G46" s="95">
        <v>6</v>
      </c>
      <c r="I46" s="54"/>
    </row>
    <row r="47" spans="2:12" s="38" customFormat="1" ht="14.5" outlineLevel="1">
      <c r="B47" s="54">
        <f t="shared" si="0"/>
        <v>36</v>
      </c>
      <c r="C47" s="55">
        <f>$C$11*(1+Premissas!$C$17)^(B47/12)-1</f>
        <v>130216.06880000004</v>
      </c>
      <c r="D47" s="88">
        <f t="shared" ref="D47:D58" si="7">D46</f>
        <v>2227.105125</v>
      </c>
      <c r="E47" s="56">
        <f>IF(-Financiamento!I56-Investimentos!D47&gt;0,-Financiamento!I56-Investimentos!D47,0)</f>
        <v>2174.3168152313365</v>
      </c>
      <c r="F47" s="93">
        <f>FV((1+Premissas!$C$17)^(1/12)-1,Premissas!$C$23-B46,0,-E47)</f>
        <v>23578.668702287356</v>
      </c>
      <c r="G47" s="95">
        <v>6</v>
      </c>
      <c r="I47" s="54"/>
    </row>
    <row r="48" spans="2:12" s="38" customFormat="1" ht="14.5" outlineLevel="1">
      <c r="B48" s="54">
        <f t="shared" si="0"/>
        <v>37</v>
      </c>
      <c r="C48" s="55">
        <f>$C$11*(1+Premissas!$C$17)^(B48/12)-1</f>
        <v>131174.62284141243</v>
      </c>
      <c r="D48" s="89">
        <f>D47*((1+Premissas!$C$15)*(1+Premissas!$C$12))</f>
        <v>2350.1526831562501</v>
      </c>
      <c r="E48" s="56">
        <f>IF(-Financiamento!I57-Investimentos!D48&gt;0,-Financiamento!I57-Investimentos!D48,0)</f>
        <v>2046.8092026598047</v>
      </c>
      <c r="F48" s="93">
        <f>FV((1+Premissas!$C$17)^(1/12)-1,Premissas!$C$23-B47,0,-E48)</f>
        <v>22033.759100394094</v>
      </c>
      <c r="G48" s="95">
        <v>6</v>
      </c>
      <c r="I48" s="54"/>
    </row>
    <row r="49" spans="2:9" s="38" customFormat="1" ht="14.5" outlineLevel="1">
      <c r="B49" s="54">
        <f t="shared" si="0"/>
        <v>38</v>
      </c>
      <c r="C49" s="55">
        <f>$C$11*(1+Premissas!$C$17)^(B49/12)-1</f>
        <v>132140.23299197221</v>
      </c>
      <c r="D49" s="56">
        <f t="shared" si="7"/>
        <v>2350.1526831562501</v>
      </c>
      <c r="E49" s="56">
        <f>IF(-Financiamento!I58-Investimentos!D49&gt;0,-Financiamento!I58-Investimentos!D49,0)</f>
        <v>2042.3310963548606</v>
      </c>
      <c r="F49" s="93">
        <f>FV((1+Premissas!$C$17)^(1/12)-1,Premissas!$C$23-B48,0,-E49)</f>
        <v>21824.895152519948</v>
      </c>
      <c r="G49" s="95">
        <v>6</v>
      </c>
      <c r="I49" s="54"/>
    </row>
    <row r="50" spans="2:9" s="38" customFormat="1" ht="14.5" outlineLevel="1">
      <c r="B50" s="54">
        <f t="shared" si="0"/>
        <v>39</v>
      </c>
      <c r="C50" s="55">
        <f>$C$11*(1+Premissas!$C$17)^(B50/12)-1</f>
        <v>133112.9511931185</v>
      </c>
      <c r="D50" s="56">
        <f t="shared" si="7"/>
        <v>2350.1526831562501</v>
      </c>
      <c r="E50" s="56">
        <f>IF(-Financiamento!I59-Investimentos!D50&gt;0,-Financiamento!I59-Investimentos!D50,0)</f>
        <v>2037.8348999359746</v>
      </c>
      <c r="F50" s="93">
        <f>FV((1+Premissas!$C$17)^(1/12)-1,Premissas!$C$23-B49,0,-E50)</f>
        <v>21617.715246511936</v>
      </c>
      <c r="G50" s="95">
        <v>6</v>
      </c>
      <c r="I50" s="54"/>
    </row>
    <row r="51" spans="2:9" s="38" customFormat="1" ht="14.5" outlineLevel="1">
      <c r="B51" s="54">
        <f t="shared" si="0"/>
        <v>40</v>
      </c>
      <c r="C51" s="55">
        <f>$C$11*(1+Premissas!$C$17)^(B51/12)-1</f>
        <v>134092.82976864156</v>
      </c>
      <c r="D51" s="56">
        <f t="shared" si="7"/>
        <v>2350.1526831562501</v>
      </c>
      <c r="E51" s="56">
        <f>IF(-Financiamento!I60-Investimentos!D51&gt;0,-Financiamento!I60-Investimentos!D51,0)</f>
        <v>2033.3205751114569</v>
      </c>
      <c r="F51" s="93">
        <f>FV((1+Premissas!$C$17)^(1/12)-1,Premissas!$C$23-B50,0,-E51)</f>
        <v>21412.206922446981</v>
      </c>
      <c r="G51" s="95">
        <v>6</v>
      </c>
      <c r="I51" s="54"/>
    </row>
    <row r="52" spans="2:9" s="38" customFormat="1" ht="14.5" outlineLevel="1">
      <c r="B52" s="54">
        <f t="shared" si="0"/>
        <v>41</v>
      </c>
      <c r="C52" s="55">
        <f>$C$11*(1+Premissas!$C$17)^(B52/12)-1</f>
        <v>135079.92142749787</v>
      </c>
      <c r="D52" s="56">
        <f t="shared" si="7"/>
        <v>2350.1526831562501</v>
      </c>
      <c r="E52" s="56">
        <f>IF(-Financiamento!I61-Investimentos!D52&gt;0,-Financiamento!I61-Investimentos!D52,0)</f>
        <v>2028.7880835221126</v>
      </c>
      <c r="F52" s="93">
        <f>FV((1+Premissas!$C$17)^(1/12)-1,Premissas!$C$23-B51,0,-E52)</f>
        <v>21208.357807516899</v>
      </c>
      <c r="G52" s="95">
        <v>6</v>
      </c>
      <c r="I52" s="54"/>
    </row>
    <row r="53" spans="2:9" s="38" customFormat="1" ht="14.5" outlineLevel="1">
      <c r="B53" s="54">
        <f t="shared" si="0"/>
        <v>42</v>
      </c>
      <c r="C53" s="55">
        <f>$C$11*(1+Premissas!$C$17)^(B53/12)-1</f>
        <v>136074.279266645</v>
      </c>
      <c r="D53" s="56">
        <f t="shared" si="7"/>
        <v>2350.1526831562501</v>
      </c>
      <c r="E53" s="56">
        <f>IF(-Financiamento!I62-Investimentos!D53&gt;0,-Financiamento!I62-Investimentos!D53,0)</f>
        <v>2024.2373867411193</v>
      </c>
      <c r="F53" s="93">
        <f>FV((1+Premissas!$C$17)^(1/12)-1,Premissas!$C$23-B52,0,-E53)</f>
        <v>21006.155615445103</v>
      </c>
      <c r="G53" s="95">
        <v>6</v>
      </c>
      <c r="I53" s="54"/>
    </row>
    <row r="54" spans="2:9" s="38" customFormat="1" ht="14.5" outlineLevel="1">
      <c r="B54" s="54">
        <f t="shared" si="0"/>
        <v>43</v>
      </c>
      <c r="C54" s="55">
        <f>$C$11*(1+Premissas!$C$17)^(B54/12)-1</f>
        <v>137075.95677389789</v>
      </c>
      <c r="D54" s="56">
        <f t="shared" si="7"/>
        <v>2350.1526831562501</v>
      </c>
      <c r="E54" s="56">
        <f>IF(-Financiamento!I63-Investimentos!D54&gt;0,-Financiamento!I63-Investimentos!D54,0)</f>
        <v>2019.6684462739408</v>
      </c>
      <c r="F54" s="93">
        <f>FV((1+Premissas!$C$17)^(1/12)-1,Premissas!$C$23-B53,0,-E54)</f>
        <v>20805.588145907357</v>
      </c>
      <c r="G54" s="95">
        <v>6</v>
      </c>
      <c r="I54" s="54"/>
    </row>
    <row r="55" spans="2:9" s="38" customFormat="1" ht="14.5" outlineLevel="1">
      <c r="B55" s="54">
        <f t="shared" si="0"/>
        <v>44</v>
      </c>
      <c r="C55" s="55">
        <f>$C$11*(1+Premissas!$C$17)^(B55/12)-1</f>
        <v>138085.00783080613</v>
      </c>
      <c r="D55" s="56">
        <f t="shared" si="7"/>
        <v>2350.1526831562501</v>
      </c>
      <c r="E55" s="56">
        <f>IF(-Financiamento!I64-Investimentos!D55&gt;0,-Financiamento!I64-Investimentos!D55,0)</f>
        <v>2015.0812235582057</v>
      </c>
      <c r="F55" s="93">
        <f>FV((1+Premissas!$C$17)^(1/12)-1,Premissas!$C$23-B54,0,-E55)</f>
        <v>20606.643283955982</v>
      </c>
      <c r="G55" s="95">
        <v>6</v>
      </c>
      <c r="I55" s="54"/>
    </row>
    <row r="56" spans="2:9" s="38" customFormat="1" ht="14.5" outlineLevel="1">
      <c r="B56" s="54">
        <f t="shared" si="0"/>
        <v>45</v>
      </c>
      <c r="C56" s="55">
        <f>$C$11*(1+Premissas!$C$17)^(B56/12)-1</f>
        <v>139101.48671555219</v>
      </c>
      <c r="D56" s="56">
        <f t="shared" si="7"/>
        <v>2350.1526831562501</v>
      </c>
      <c r="E56" s="56">
        <f>IF(-Financiamento!I65-Investimentos!D56&gt;0,-Financiamento!I65-Investimentos!D56,0)</f>
        <v>2010.4756799636102</v>
      </c>
      <c r="F56" s="93">
        <f>FV((1+Premissas!$C$17)^(1/12)-1,Premissas!$C$23-B55,0,-E56)</f>
        <v>20409.30899944792</v>
      </c>
      <c r="G56" s="95">
        <v>6</v>
      </c>
      <c r="I56" s="54"/>
    </row>
    <row r="57" spans="2:9" s="38" customFormat="1" ht="14.5" outlineLevel="1">
      <c r="B57" s="54">
        <f t="shared" si="0"/>
        <v>46</v>
      </c>
      <c r="C57" s="55">
        <f>$C$11*(1+Premissas!$C$17)^(B57/12)-1</f>
        <v>140125.44810587112</v>
      </c>
      <c r="D57" s="56">
        <f t="shared" si="7"/>
        <v>2350.1526831562501</v>
      </c>
      <c r="E57" s="56">
        <f>IF(-Financiamento!I66-Investimentos!D57&gt;0,-Financiamento!I66-Investimentos!D57,0)</f>
        <v>2005.851776791807</v>
      </c>
      <c r="F57" s="93">
        <f>FV((1+Premissas!$C$17)^(1/12)-1,Premissas!$C$23-B56,0,-E57)</f>
        <v>20213.573346476474</v>
      </c>
      <c r="G57" s="95">
        <v>6</v>
      </c>
      <c r="I57" s="54"/>
    </row>
    <row r="58" spans="2:9" s="38" customFormat="1" ht="14.5" outlineLevel="1">
      <c r="B58" s="54">
        <f t="shared" si="0"/>
        <v>47</v>
      </c>
      <c r="C58" s="55">
        <f>$C$11*(1+Premissas!$C$17)^(B58/12)-1</f>
        <v>141156.94708199191</v>
      </c>
      <c r="D58" s="56">
        <f t="shared" si="7"/>
        <v>2350.1526831562501</v>
      </c>
      <c r="E58" s="56">
        <f>IF(-Financiamento!I67-Investimentos!D58&gt;0,-Financiamento!I67-Investimentos!D58,0)</f>
        <v>2001.2094752763073</v>
      </c>
      <c r="F58" s="93">
        <f>FV((1+Premissas!$C$17)^(1/12)-1,Premissas!$C$23-B57,0,-E58)</f>
        <v>20019.424462806735</v>
      </c>
      <c r="G58" s="95">
        <v>6</v>
      </c>
      <c r="I58" s="54"/>
    </row>
    <row r="59" spans="2:9" s="38" customFormat="1" ht="14.5" outlineLevel="1">
      <c r="B59" s="54">
        <f t="shared" si="0"/>
        <v>48</v>
      </c>
      <c r="C59" s="55">
        <f>$C$11*(1+Premissas!$C$17)^(B59/12)-1</f>
        <v>142196.03912960005</v>
      </c>
      <c r="D59" s="88">
        <f t="shared" ref="D59:D70" si="8">D58</f>
        <v>2350.1526831562501</v>
      </c>
      <c r="E59" s="56">
        <f>IF(-Financiamento!I68-Investimentos!D59&gt;0,-Financiamento!I68-Investimentos!D59,0)</f>
        <v>1996.5487365823633</v>
      </c>
      <c r="F59" s="93">
        <f>FV((1+Premissas!$C$17)^(1/12)-1,Premissas!$C$23-B58,0,-E59)</f>
        <v>19826.850569314505</v>
      </c>
      <c r="G59" s="95">
        <v>6</v>
      </c>
      <c r="I59" s="54"/>
    </row>
    <row r="60" spans="2:9" s="38" customFormat="1" ht="14.5" outlineLevel="1">
      <c r="B60" s="54">
        <f t="shared" si="0"/>
        <v>49</v>
      </c>
      <c r="C60" s="55">
        <f>$C$11*(1+Premissas!$C$17)^(B60/12)-1</f>
        <v>143242.78014282236</v>
      </c>
      <c r="D60" s="89">
        <f>D59*((1+Premissas!$C$15)*(1+Premissas!$C$12))</f>
        <v>2479.9986189006331</v>
      </c>
      <c r="E60" s="56">
        <f>IF(-Financiamento!I69-Investimentos!D60&gt;0,-Financiamento!I69-Investimentos!D60,0)</f>
        <v>1862.0235860624898</v>
      </c>
      <c r="F60" s="93">
        <f>FV((1+Premissas!$C$17)^(1/12)-1,Premissas!$C$23-B59,0,-E60)</f>
        <v>18355.819372173974</v>
      </c>
      <c r="G60" s="95">
        <v>6</v>
      </c>
      <c r="I60" s="54"/>
    </row>
    <row r="61" spans="2:9" s="38" customFormat="1" ht="14.5" outlineLevel="1">
      <c r="B61" s="54">
        <f t="shared" si="0"/>
        <v>50</v>
      </c>
      <c r="C61" s="55">
        <f>$C$11*(1+Premissas!$C$17)^(B61/12)-1</f>
        <v>144297.22642723369</v>
      </c>
      <c r="D61" s="56">
        <f t="shared" si="8"/>
        <v>2479.9986189006331</v>
      </c>
      <c r="E61" s="56">
        <f>IF(-Financiamento!I70-Investimentos!D61&gt;0,-Financiamento!I70-Investimentos!D61,0)</f>
        <v>1857.3258562338842</v>
      </c>
      <c r="F61" s="93">
        <f>FV((1+Premissas!$C$17)^(1/12)-1,Premissas!$C$23-B60,0,-E61)</f>
        <v>18175.714086473978</v>
      </c>
      <c r="G61" s="95">
        <v>6</v>
      </c>
      <c r="I61" s="54"/>
    </row>
    <row r="62" spans="2:9" s="38" customFormat="1" ht="14.5" outlineLevel="1">
      <c r="B62" s="54">
        <f t="shared" si="0"/>
        <v>51</v>
      </c>
      <c r="C62" s="55">
        <f>$C$11*(1+Premissas!$C$17)^(B62/12)-1</f>
        <v>145359.43470288537</v>
      </c>
      <c r="D62" s="56">
        <f t="shared" si="8"/>
        <v>2479.9986189006331</v>
      </c>
      <c r="E62" s="56">
        <f>IF(-Financiamento!I71-Investimentos!D62&gt;0,-Financiamento!I71-Investimentos!D62,0)</f>
        <v>1852.6095723120243</v>
      </c>
      <c r="F62" s="93">
        <f>FV((1+Premissas!$C$17)^(1/12)-1,Premissas!$C$23-B61,0,-E62)</f>
        <v>17997.080595842395</v>
      </c>
      <c r="G62" s="95">
        <v>6</v>
      </c>
      <c r="I62" s="54"/>
    </row>
    <row r="63" spans="2:9" s="38" customFormat="1" ht="14.5" outlineLevel="1">
      <c r="B63" s="54">
        <f t="shared" si="0"/>
        <v>52</v>
      </c>
      <c r="C63" s="55">
        <f>$C$11*(1+Premissas!$C$17)^(B63/12)-1</f>
        <v>146429.46210735661</v>
      </c>
      <c r="D63" s="56">
        <f t="shared" si="8"/>
        <v>2479.9986189006331</v>
      </c>
      <c r="E63" s="56">
        <f>IF(-Financiamento!I72-Investimentos!D63&gt;0,-Financiamento!I72-Investimentos!D63,0)</f>
        <v>1847.8746951880921</v>
      </c>
      <c r="F63" s="93">
        <f>FV((1+Premissas!$C$17)^(1/12)-1,Premissas!$C$23-B62,0,-E63)</f>
        <v>17819.90794752826</v>
      </c>
      <c r="G63" s="95">
        <v>6</v>
      </c>
      <c r="I63" s="54"/>
    </row>
    <row r="64" spans="2:9" s="38" customFormat="1" ht="14.5" outlineLevel="1">
      <c r="B64" s="54">
        <f t="shared" si="0"/>
        <v>53</v>
      </c>
      <c r="C64" s="55">
        <f>$C$11*(1+Premissas!$C$17)^(B64/12)-1</f>
        <v>147507.36619882769</v>
      </c>
      <c r="D64" s="56">
        <f t="shared" si="8"/>
        <v>2479.9986189006331</v>
      </c>
      <c r="E64" s="56">
        <f>IF(-Financiamento!I73-Investimentos!D64&gt;0,-Financiamento!I73-Investimentos!D64,0)</f>
        <v>1843.1211856844893</v>
      </c>
      <c r="F64" s="93">
        <f>FV((1+Premissas!$C$17)^(1/12)-1,Premissas!$C$23-B63,0,-E64)</f>
        <v>17644.1852654906</v>
      </c>
      <c r="G64" s="95">
        <v>6</v>
      </c>
      <c r="I64" s="54"/>
    </row>
    <row r="65" spans="2:9" s="38" customFormat="1" ht="14.5" outlineLevel="1">
      <c r="B65" s="54">
        <f t="shared" si="0"/>
        <v>54</v>
      </c>
      <c r="C65" s="55">
        <f>$C$11*(1+Premissas!$C$17)^(B65/12)-1</f>
        <v>148593.20495917634</v>
      </c>
      <c r="D65" s="56">
        <f t="shared" si="8"/>
        <v>2479.9986189006331</v>
      </c>
      <c r="E65" s="56">
        <f>IF(-Financiamento!I74-Investimentos!D65&gt;0,-Financiamento!I74-Investimentos!D65,0)</f>
        <v>1838.3490045547269</v>
      </c>
      <c r="F65" s="93">
        <f>FV((1+Premissas!$C$17)^(1/12)-1,Premissas!$C$23-B64,0,-E65)</f>
        <v>17469.901749885568</v>
      </c>
      <c r="G65" s="95">
        <v>6</v>
      </c>
      <c r="I65" s="54"/>
    </row>
    <row r="66" spans="2:9" s="38" customFormat="1" ht="14.5" outlineLevel="1">
      <c r="B66" s="54">
        <f t="shared" si="0"/>
        <v>55</v>
      </c>
      <c r="C66" s="55">
        <f>$C$11*(1+Premissas!$C$17)^(B66/12)-1</f>
        <v>149687.03679709652</v>
      </c>
      <c r="D66" s="56">
        <f t="shared" si="8"/>
        <v>2479.9986189006331</v>
      </c>
      <c r="E66" s="56">
        <f>IF(-Financiamento!I75-Investimentos!D66&gt;0,-Financiamento!I75-Investimentos!D66,0)</f>
        <v>1833.5581124833188</v>
      </c>
      <c r="F66" s="93">
        <f>FV((1+Premissas!$C$17)^(1/12)-1,Premissas!$C$23-B65,0,-E66)</f>
        <v>17297.046676556783</v>
      </c>
      <c r="G66" s="95">
        <v>6</v>
      </c>
      <c r="I66" s="54"/>
    </row>
    <row r="67" spans="2:9" s="38" customFormat="1" ht="14.5" outlineLevel="1">
      <c r="B67" s="54">
        <f t="shared" si="0"/>
        <v>56</v>
      </c>
      <c r="C67" s="55">
        <f>$C$11*(1+Premissas!$C$17)^(B67/12)-1</f>
        <v>150788.92055124033</v>
      </c>
      <c r="D67" s="56">
        <f t="shared" si="8"/>
        <v>2479.9986189006331</v>
      </c>
      <c r="E67" s="56">
        <f>IF(-Financiamento!I76-Investimentos!D67&gt;0,-Financiamento!I76-Investimentos!D67,0)</f>
        <v>1828.7484700856767</v>
      </c>
      <c r="F67" s="93">
        <f>FV((1+Premissas!$C$17)^(1/12)-1,Premissas!$C$23-B66,0,-E67)</f>
        <v>17125.609396529002</v>
      </c>
      <c r="G67" s="95">
        <v>6</v>
      </c>
      <c r="I67" s="54"/>
    </row>
    <row r="68" spans="2:9" s="38" customFormat="1" ht="14.5" outlineLevel="1">
      <c r="B68" s="54">
        <f t="shared" si="0"/>
        <v>57</v>
      </c>
      <c r="C68" s="55">
        <f>$C$11*(1+Premissas!$C$17)^(B68/12)-1</f>
        <v>151898.91549338299</v>
      </c>
      <c r="D68" s="56">
        <f t="shared" si="8"/>
        <v>2479.9986189006331</v>
      </c>
      <c r="E68" s="56">
        <f>IF(-Financiamento!I77-Investimentos!D68&gt;0,-Financiamento!I77-Investimentos!D68,0)</f>
        <v>1823.9200379080021</v>
      </c>
      <c r="F68" s="93">
        <f>FV((1+Premissas!$C$17)^(1/12)-1,Premissas!$C$23-B67,0,-E68)</f>
        <v>16955.579335505015</v>
      </c>
      <c r="G68" s="95">
        <v>6</v>
      </c>
      <c r="I68" s="54"/>
    </row>
    <row r="69" spans="2:9" s="38" customFormat="1" ht="14.5" outlineLevel="1">
      <c r="B69" s="54">
        <f t="shared" si="0"/>
        <v>58</v>
      </c>
      <c r="C69" s="55">
        <f>$C$11*(1+Premissas!$C$17)^(B69/12)-1</f>
        <v>153017.08133161129</v>
      </c>
      <c r="D69" s="56">
        <f t="shared" si="8"/>
        <v>2479.9986189006331</v>
      </c>
      <c r="E69" s="56">
        <f>IF(-Financiamento!I78-Investimentos!D69&gt;0,-Financiamento!I78-Investimentos!D69,0)</f>
        <v>1819.0727764271869</v>
      </c>
      <c r="F69" s="93">
        <f>FV((1+Premissas!$C$17)^(1/12)-1,Premissas!$C$23-B68,0,-E69)</f>
        <v>16786.945993365895</v>
      </c>
      <c r="G69" s="95">
        <v>6</v>
      </c>
      <c r="I69" s="54"/>
    </row>
    <row r="70" spans="2:9" s="38" customFormat="1" ht="14.5" outlineLevel="1">
      <c r="B70" s="54">
        <f t="shared" si="0"/>
        <v>59</v>
      </c>
      <c r="C70" s="55">
        <f>$C$11*(1+Premissas!$C$17)^(B70/12)-1</f>
        <v>154143.47821353519</v>
      </c>
      <c r="D70" s="56">
        <f t="shared" si="8"/>
        <v>2479.9986189006331</v>
      </c>
      <c r="E70" s="56">
        <f>IF(-Financiamento!I79-Investimentos!D70&gt;0,-Financiamento!I79-Investimentos!D70,0)</f>
        <v>1814.2066460506976</v>
      </c>
      <c r="F70" s="93">
        <f>FV((1+Premissas!$C$17)^(1/12)-1,Premissas!$C$23-B69,0,-E70)</f>
        <v>16619.698943674201</v>
      </c>
      <c r="G70" s="95">
        <v>6</v>
      </c>
      <c r="I70" s="54"/>
    </row>
    <row r="71" spans="2:9" s="38" customFormat="1" ht="14.5" outlineLevel="1">
      <c r="B71" s="54">
        <f t="shared" si="0"/>
        <v>60</v>
      </c>
      <c r="C71" s="55">
        <f>$C$11*(1+Premissas!$C$17)^(B71/12)-1</f>
        <v>155278.16672952328</v>
      </c>
      <c r="D71" s="88">
        <f t="shared" ref="D71:D82" si="9">D70</f>
        <v>2479.9986189006331</v>
      </c>
      <c r="E71" s="56">
        <f>IF(-Financiamento!I80-Investimentos!D71&gt;0,-Financiamento!I80-Investimentos!D71,0)</f>
        <v>1809.3216071164725</v>
      </c>
      <c r="F71" s="93">
        <f>FV((1+Premissas!$C$17)^(1/12)-1,Premissas!$C$23-B70,0,-E71)</f>
        <v>16453.827833180625</v>
      </c>
      <c r="G71" s="95">
        <v>6</v>
      </c>
      <c r="I71" s="54"/>
    </row>
    <row r="72" spans="2:9" s="38" customFormat="1" ht="14.5" outlineLevel="1">
      <c r="B72" s="54">
        <f t="shared" si="0"/>
        <v>61</v>
      </c>
      <c r="C72" s="55">
        <f>$C$11*(1+Premissas!$C$17)^(B72/12)-1</f>
        <v>156421.20791596203</v>
      </c>
      <c r="D72" s="89">
        <f>D71*((1+Premissas!$C$15)*(1+Premissas!$C$12))</f>
        <v>2617.018542594893</v>
      </c>
      <c r="E72" s="56">
        <f>IF(-Financiamento!I81-Investimentos!D72&gt;0,-Financiamento!I81-Investimentos!D72,0)</f>
        <v>1667.3976961985582</v>
      </c>
      <c r="F72" s="93">
        <f>FV((1+Premissas!$C$17)^(1/12)-1,Premissas!$C$23-B71,0,-E72)</f>
        <v>15052.379400332356</v>
      </c>
      <c r="G72" s="95">
        <v>6</v>
      </c>
      <c r="I72" s="54"/>
    </row>
    <row r="73" spans="2:9" s="38" customFormat="1" ht="14.5" outlineLevel="1">
      <c r="B73" s="54">
        <f t="shared" si="0"/>
        <v>62</v>
      </c>
      <c r="C73" s="55">
        <f>$C$11*(1+Premissas!$C$17)^(B73/12)-1</f>
        <v>157572.66325853922</v>
      </c>
      <c r="D73" s="56">
        <f t="shared" si="9"/>
        <v>2617.018542594893</v>
      </c>
      <c r="E73" s="56">
        <f>IF(-Financiamento!I82-Investimentos!D73&gt;0,-Financiamento!I82-Investimentos!D73,0)</f>
        <v>1662.4747208840363</v>
      </c>
      <c r="F73" s="93">
        <f>FV((1+Premissas!$C$17)^(1/12)-1,Premissas!$C$23-B72,0,-E73)</f>
        <v>14898.268248142635</v>
      </c>
      <c r="G73" s="95">
        <v>6</v>
      </c>
      <c r="I73" s="54"/>
    </row>
    <row r="74" spans="2:9" s="38" customFormat="1" ht="14.5" outlineLevel="1">
      <c r="B74" s="54">
        <f t="shared" si="0"/>
        <v>63</v>
      </c>
      <c r="C74" s="55">
        <f>$C$11*(1+Premissas!$C$17)^(B74/12)-1</f>
        <v>158732.59469555086</v>
      </c>
      <c r="D74" s="56">
        <f t="shared" si="9"/>
        <v>2617.018542594893</v>
      </c>
      <c r="E74" s="56">
        <f>IF(-Financiamento!I83-Investimentos!D74&gt;0,-Financiamento!I83-Investimentos!D74,0)</f>
        <v>1657.5327176073679</v>
      </c>
      <c r="F74" s="93">
        <f>FV((1+Premissas!$C$17)^(1/12)-1,Premissas!$C$23-B73,0,-E74)</f>
        <v>14745.436359067737</v>
      </c>
      <c r="G74" s="95">
        <v>6</v>
      </c>
      <c r="I74" s="54"/>
    </row>
    <row r="75" spans="2:9" s="38" customFormat="1" ht="14.5" outlineLevel="1">
      <c r="B75" s="54">
        <f t="shared" si="0"/>
        <v>64</v>
      </c>
      <c r="C75" s="55">
        <f>$C$11*(1+Premissas!$C$17)^(B75/12)-1</f>
        <v>159901.06462123341</v>
      </c>
      <c r="D75" s="56">
        <f t="shared" si="9"/>
        <v>2617.018542594893</v>
      </c>
      <c r="E75" s="56">
        <f>IF(-Financiamento!I84-Investimentos!D75&gt;0,-Financiamento!I84-Investimentos!D75,0)</f>
        <v>1652.5716464273119</v>
      </c>
      <c r="F75" s="93">
        <f>FV((1+Premissas!$C$17)^(1/12)-1,Premissas!$C$23-B74,0,-E75)</f>
        <v>14593.874150398042</v>
      </c>
      <c r="G75" s="95">
        <v>6</v>
      </c>
      <c r="I75" s="54"/>
    </row>
    <row r="76" spans="2:9" s="38" customFormat="1" ht="14.5" outlineLevel="1">
      <c r="B76" s="54">
        <f t="shared" si="0"/>
        <v>65</v>
      </c>
      <c r="C76" s="55">
        <f>$C$11*(1+Premissas!$C$17)^(B76/12)-1</f>
        <v>161078.13588911988</v>
      </c>
      <c r="D76" s="56">
        <f t="shared" si="9"/>
        <v>2617.018542594893</v>
      </c>
      <c r="E76" s="56">
        <f>IF(-Financiamento!I85-Investimentos!D76&gt;0,-Financiamento!I85-Investimentos!D76,0)</f>
        <v>1647.5914673325724</v>
      </c>
      <c r="F76" s="93">
        <f>FV((1+Premissas!$C$17)^(1/12)-1,Premissas!$C$23-B75,0,-E76)</f>
        <v>14443.572106665042</v>
      </c>
      <c r="G76" s="95">
        <v>6</v>
      </c>
      <c r="I76" s="54"/>
    </row>
    <row r="77" spans="2:9" s="38" customFormat="1" ht="14.5" outlineLevel="1">
      <c r="B77" s="54">
        <f t="shared" ref="B77:B140" si="10">B76+1</f>
        <v>66</v>
      </c>
      <c r="C77" s="55">
        <f>$C$11*(1+Premissas!$C$17)^(B77/12)-1</f>
        <v>162263.87181542057</v>
      </c>
      <c r="D77" s="56">
        <f t="shared" si="9"/>
        <v>2617.018542594893</v>
      </c>
      <c r="E77" s="56">
        <f>IF(-Financiamento!I86-Investimentos!D77&gt;0,-Financiamento!I86-Investimentos!D77,0)</f>
        <v>1642.592140241687</v>
      </c>
      <c r="F77" s="93">
        <f>FV((1+Premissas!$C$17)^(1/12)-1,Premissas!$C$23-B76,0,-E77)</f>
        <v>14294.520779192377</v>
      </c>
      <c r="G77" s="95">
        <v>6</v>
      </c>
      <c r="I77" s="54"/>
    </row>
    <row r="78" spans="2:9" s="38" customFormat="1" ht="14.5" outlineLevel="1">
      <c r="B78" s="54">
        <f t="shared" si="10"/>
        <v>67</v>
      </c>
      <c r="C78" s="55">
        <f>$C$11*(1+Premissas!$C$17)^(B78/12)-1</f>
        <v>163458.3361824294</v>
      </c>
      <c r="D78" s="56">
        <f t="shared" si="9"/>
        <v>2617.018542594893</v>
      </c>
      <c r="E78" s="56">
        <f>IF(-Financiamento!I87-Investimentos!D78&gt;0,-Financiamento!I87-Investimentos!D78,0)</f>
        <v>1637.5736250029177</v>
      </c>
      <c r="F78" s="93">
        <f>FV((1+Premissas!$C$17)^(1/12)-1,Premissas!$C$23-B77,0,-E78)</f>
        <v>14146.710785649726</v>
      </c>
      <c r="G78" s="95">
        <v>6</v>
      </c>
      <c r="I78" s="54"/>
    </row>
    <row r="79" spans="2:9" s="38" customFormat="1" ht="14.5" outlineLevel="1">
      <c r="B79" s="54">
        <f t="shared" si="10"/>
        <v>68</v>
      </c>
      <c r="C79" s="55">
        <f>$C$11*(1+Premissas!$C$17)^(B79/12)-1</f>
        <v>164661.59324195443</v>
      </c>
      <c r="D79" s="56">
        <f t="shared" si="9"/>
        <v>2617.018542594893</v>
      </c>
      <c r="E79" s="56">
        <f>IF(-Financiamento!I88-Investimentos!D79&gt;0,-Financiamento!I88-Investimentos!D79,0)</f>
        <v>1632.5358813941502</v>
      </c>
      <c r="F79" s="93">
        <f>FV((1+Premissas!$C$17)^(1/12)-1,Premissas!$C$23-B78,0,-E79)</f>
        <v>14000.132809609684</v>
      </c>
      <c r="G79" s="95">
        <v>6</v>
      </c>
      <c r="I79" s="54"/>
    </row>
    <row r="80" spans="2:9" s="38" customFormat="1" ht="14.5" outlineLevel="1">
      <c r="B80" s="54">
        <f t="shared" si="10"/>
        <v>69</v>
      </c>
      <c r="C80" s="55">
        <f>$C$11*(1+Premissas!$C$17)^(B80/12)-1</f>
        <v>165873.70771877424</v>
      </c>
      <c r="D80" s="56">
        <f t="shared" si="9"/>
        <v>2617.018542594893</v>
      </c>
      <c r="E80" s="56">
        <f>IF(-Financiamento!I89-Investimentos!D80&gt;0,-Financiamento!I89-Investimentos!D80,0)</f>
        <v>1627.4788691227795</v>
      </c>
      <c r="F80" s="93">
        <f>FV((1+Premissas!$C$17)^(1/12)-1,Premissas!$C$23-B79,0,-E80)</f>
        <v>13854.777600107274</v>
      </c>
      <c r="G80" s="95">
        <v>6</v>
      </c>
      <c r="I80" s="54"/>
    </row>
    <row r="81" spans="2:9" s="38" customFormat="1" ht="14.5" outlineLevel="1">
      <c r="B81" s="54">
        <f t="shared" si="10"/>
        <v>70</v>
      </c>
      <c r="C81" s="55">
        <f>$C$11*(1+Premissas!$C$17)^(B81/12)-1</f>
        <v>167094.74481411953</v>
      </c>
      <c r="D81" s="56">
        <f t="shared" si="9"/>
        <v>2617.018542594893</v>
      </c>
      <c r="E81" s="56">
        <f>IF(-Financiamento!I90-Investimentos!D81&gt;0,-Financiamento!I90-Investimentos!D81,0)</f>
        <v>1622.4025478256108</v>
      </c>
      <c r="F81" s="93">
        <f>FV((1+Premissas!$C$17)^(1/12)-1,Premissas!$C$23-B80,0,-E81)</f>
        <v>13710.635971202477</v>
      </c>
      <c r="G81" s="95">
        <v>6</v>
      </c>
      <c r="I81" s="54"/>
    </row>
    <row r="82" spans="2:9" s="38" customFormat="1" ht="14.5" outlineLevel="1">
      <c r="B82" s="54">
        <f t="shared" si="10"/>
        <v>71</v>
      </c>
      <c r="C82" s="55">
        <f>$C$11*(1+Premissas!$C$17)^(B82/12)-1</f>
        <v>168324.77020918042</v>
      </c>
      <c r="D82" s="56">
        <f t="shared" si="9"/>
        <v>2617.018542594893</v>
      </c>
      <c r="E82" s="56">
        <f>IF(-Financiamento!I91-Investimentos!D82&gt;0,-Financiamento!I91-Investimentos!D82,0)</f>
        <v>1617.3068770687505</v>
      </c>
      <c r="F82" s="93">
        <f>FV((1+Premissas!$C$17)^(1/12)-1,Premissas!$C$23-B81,0,-E82)</f>
        <v>13567.698801545428</v>
      </c>
      <c r="G82" s="95">
        <v>6</v>
      </c>
      <c r="I82" s="54"/>
    </row>
    <row r="83" spans="2:9" s="38" customFormat="1" ht="14.5" outlineLevel="1">
      <c r="B83" s="54">
        <f t="shared" si="10"/>
        <v>72</v>
      </c>
      <c r="C83" s="55">
        <f>$C$11*(1+Premissas!$C$17)^(B83/12)-1</f>
        <v>169563.85006863941</v>
      </c>
      <c r="D83" s="88">
        <f t="shared" ref="D83:D94" si="11">D82</f>
        <v>2617.018542594893</v>
      </c>
      <c r="E83" s="56">
        <f>IF(-Financiamento!I92-Investimentos!D83&gt;0,-Financiamento!I92-Investimentos!D83,0)</f>
        <v>1612.1918163474984</v>
      </c>
      <c r="F83" s="93">
        <f>FV((1+Premissas!$C$17)^(1/12)-1,Premissas!$C$23-B82,0,-E83)</f>
        <v>13425.957033944445</v>
      </c>
      <c r="G83" s="95">
        <v>6</v>
      </c>
      <c r="I83" s="54"/>
    </row>
    <row r="84" spans="2:9" s="38" customFormat="1" ht="14.5" outlineLevel="1">
      <c r="B84" s="54">
        <f t="shared" si="10"/>
        <v>73</v>
      </c>
      <c r="C84" s="55">
        <f>$C$11*(1+Premissas!$C$17)^(B84/12)-1</f>
        <v>170812.05104423058</v>
      </c>
      <c r="D84" s="89">
        <f>D83*((1+Premissas!$C$15)*(1+Premissas!$C$12))</f>
        <v>2761.608817073261</v>
      </c>
      <c r="E84" s="56">
        <f>IF(-Financiamento!I93-Investimentos!D84&gt;0,-Financiamento!I93-Investimentos!D84,0)</f>
        <v>1462.4670506078774</v>
      </c>
      <c r="F84" s="93">
        <f>FV((1+Premissas!$C$17)^(1/12)-1,Premissas!$C$23-B83,0,-E84)</f>
        <v>12090.086582719192</v>
      </c>
      <c r="G84" s="95">
        <v>6</v>
      </c>
      <c r="I84" s="54"/>
    </row>
    <row r="85" spans="2:9" s="38" customFormat="1" ht="14.5" outlineLevel="1">
      <c r="B85" s="54">
        <f t="shared" si="10"/>
        <v>74</v>
      </c>
      <c r="C85" s="55">
        <f>$C$11*(1+Premissas!$C$17)^(B85/12)-1</f>
        <v>172069.44027832482</v>
      </c>
      <c r="D85" s="56">
        <f t="shared" si="11"/>
        <v>2761.608817073261</v>
      </c>
      <c r="E85" s="56">
        <f>IF(-Financiamento!I94-Investimentos!D85&gt;0,-Financiamento!I94-Investimentos!D85,0)</f>
        <v>1457.3130881599936</v>
      </c>
      <c r="F85" s="93">
        <f>FV((1+Premissas!$C$17)^(1/12)-1,Premissas!$C$23-B84,0,-E85)</f>
        <v>11959.443359450603</v>
      </c>
      <c r="G85" s="95">
        <v>6</v>
      </c>
      <c r="I85" s="54"/>
    </row>
    <row r="86" spans="2:9" s="38" customFormat="1" ht="14.5" outlineLevel="1">
      <c r="B86" s="54">
        <f t="shared" si="10"/>
        <v>75</v>
      </c>
      <c r="C86" s="55">
        <f>$C$11*(1+Premissas!$C$17)^(B86/12)-1</f>
        <v>173336.08540754157</v>
      </c>
      <c r="D86" s="56">
        <f t="shared" si="11"/>
        <v>2761.608817073261</v>
      </c>
      <c r="E86" s="56">
        <f>IF(-Financiamento!I95-Investimentos!D86&gt;0,-Financiamento!I95-Investimentos!D86,0)</f>
        <v>1452.1396138077253</v>
      </c>
      <c r="F86" s="93">
        <f>FV((1+Premissas!$C$17)^(1/12)-1,Premissas!$C$23-B85,0,-E86)</f>
        <v>11829.904919612656</v>
      </c>
      <c r="G86" s="95">
        <v>6</v>
      </c>
      <c r="I86" s="54"/>
    </row>
    <row r="87" spans="2:9" s="38" customFormat="1" ht="14.5" outlineLevel="1">
      <c r="B87" s="54">
        <f t="shared" si="10"/>
        <v>76</v>
      </c>
      <c r="C87" s="55">
        <f>$C$11*(1+Premissas!$C$17)^(B87/12)-1</f>
        <v>174612.05456638691</v>
      </c>
      <c r="D87" s="56">
        <f t="shared" si="11"/>
        <v>2761.608817073261</v>
      </c>
      <c r="E87" s="56">
        <f>IF(-Financiamento!I96-Investimentos!D87&gt;0,-Financiamento!I96-Investimentos!D87,0)</f>
        <v>1446.9465867620884</v>
      </c>
      <c r="F87" s="93">
        <f>FV((1+Premissas!$C$17)^(1/12)-1,Premissas!$C$23-B86,0,-E87)</f>
        <v>11701.462924796966</v>
      </c>
      <c r="G87" s="95">
        <v>6</v>
      </c>
      <c r="I87" s="54"/>
    </row>
    <row r="88" spans="2:9" s="38" customFormat="1" ht="14.5" outlineLevel="1">
      <c r="B88" s="54">
        <f t="shared" si="10"/>
        <v>77</v>
      </c>
      <c r="C88" s="55">
        <f>$C$11*(1+Premissas!$C$17)^(B88/12)-1</f>
        <v>175897.41639091889</v>
      </c>
      <c r="D88" s="56">
        <f t="shared" si="11"/>
        <v>2761.608817073261</v>
      </c>
      <c r="E88" s="56">
        <f>IF(-Financiamento!I97-Investimentos!D88&gt;0,-Financiamento!I97-Investimentos!D88,0)</f>
        <v>1441.7339661627648</v>
      </c>
      <c r="F88" s="93">
        <f>FV((1+Premissas!$C$17)^(1/12)-1,Premissas!$C$23-B87,0,-E88)</f>
        <v>11574.109095226284</v>
      </c>
      <c r="G88" s="95">
        <v>6</v>
      </c>
      <c r="I88" s="54"/>
    </row>
    <row r="89" spans="2:9" s="38" customFormat="1" ht="14.5" outlineLevel="1">
      <c r="B89" s="54">
        <f t="shared" si="10"/>
        <v>78</v>
      </c>
      <c r="C89" s="55">
        <f>$C$11*(1+Premissas!$C$17)^(B89/12)-1</f>
        <v>177192.24002243928</v>
      </c>
      <c r="D89" s="56">
        <f t="shared" si="11"/>
        <v>2761.608817073261</v>
      </c>
      <c r="E89" s="56">
        <f>IF(-Financiamento!I98-Investimentos!D89&gt;0,-Financiamento!I98-Investimentos!D89,0)</f>
        <v>1436.5017110779909</v>
      </c>
      <c r="F89" s="93">
        <f>FV((1+Premissas!$C$17)^(1/12)-1,Premissas!$C$23-B88,0,-E89)</f>
        <v>11447.83520936374</v>
      </c>
      <c r="G89" s="95">
        <v>6</v>
      </c>
      <c r="I89" s="54"/>
    </row>
    <row r="90" spans="2:9" s="38" customFormat="1" ht="14.5" outlineLevel="1">
      <c r="B90" s="54">
        <f t="shared" si="10"/>
        <v>79</v>
      </c>
      <c r="C90" s="55">
        <f>$C$11*(1+Premissas!$C$17)^(B90/12)-1</f>
        <v>178496.59511121293</v>
      </c>
      <c r="D90" s="56">
        <f t="shared" si="11"/>
        <v>2761.608817073261</v>
      </c>
      <c r="E90" s="56">
        <f>IF(-Financiamento!I99-Investimentos!D90&gt;0,-Financiamento!I99-Investimentos!D90,0)</f>
        <v>1431.2497805044541</v>
      </c>
      <c r="F90" s="93">
        <f>FV((1+Premissas!$C$17)^(1/12)-1,Premissas!$C$23-B89,0,-E90)</f>
        <v>11322.633103524609</v>
      </c>
      <c r="G90" s="95">
        <v>6</v>
      </c>
      <c r="I90" s="54"/>
    </row>
    <row r="91" spans="2:9" s="38" customFormat="1" ht="14.5" outlineLevel="1">
      <c r="B91" s="54">
        <f t="shared" si="10"/>
        <v>80</v>
      </c>
      <c r="C91" s="55">
        <f>$C$11*(1+Premissas!$C$17)^(B91/12)-1</f>
        <v>179810.55182021426</v>
      </c>
      <c r="D91" s="56">
        <f t="shared" si="11"/>
        <v>2761.608817073261</v>
      </c>
      <c r="E91" s="56">
        <f>IF(-Financiamento!I100-Investimentos!D91&gt;0,-Financiamento!I100-Investimentos!D91,0)</f>
        <v>1425.9781333671908</v>
      </c>
      <c r="F91" s="93">
        <f>FV((1+Premissas!$C$17)^(1/12)-1,Premissas!$C$23-B90,0,-E91)</f>
        <v>11198.494671490549</v>
      </c>
      <c r="G91" s="95">
        <v>6</v>
      </c>
      <c r="I91" s="54"/>
    </row>
    <row r="92" spans="2:9" s="38" customFormat="1" ht="14.5" outlineLevel="1">
      <c r="B92" s="54">
        <f t="shared" si="10"/>
        <v>81</v>
      </c>
      <c r="C92" s="55">
        <f>$C$11*(1+Premissas!$C$17)^(B92/12)-1</f>
        <v>181134.18082890147</v>
      </c>
      <c r="D92" s="56">
        <f t="shared" si="11"/>
        <v>2761.608817073261</v>
      </c>
      <c r="E92" s="56">
        <f>IF(-Financiamento!I101-Investimentos!D92&gt;0,-Financiamento!I101-Investimentos!D92,0)</f>
        <v>1420.6867285194721</v>
      </c>
      <c r="F92" s="93">
        <f>FV((1+Premissas!$C$17)^(1/12)-1,Premissas!$C$23-B91,0,-E92)</f>
        <v>11075.411864126212</v>
      </c>
      <c r="G92" s="95">
        <v>6</v>
      </c>
      <c r="I92" s="54"/>
    </row>
    <row r="93" spans="2:9" s="38" customFormat="1" ht="14.5" outlineLevel="1">
      <c r="B93" s="54">
        <f t="shared" si="10"/>
        <v>82</v>
      </c>
      <c r="C93" s="55">
        <f>$C$11*(1+Premissas!$C$17)^(B93/12)-1</f>
        <v>182467.55333701856</v>
      </c>
      <c r="D93" s="56">
        <f t="shared" si="11"/>
        <v>2761.608817073261</v>
      </c>
      <c r="E93" s="56">
        <f>IF(-Financiamento!I102-Investimentos!D93&gt;0,-Financiamento!I102-Investimentos!D93,0)</f>
        <v>1415.3755247427061</v>
      </c>
      <c r="F93" s="93">
        <f>FV((1+Premissas!$C$17)^(1/12)-1,Premissas!$C$23-B92,0,-E93)</f>
        <v>10953.376688998409</v>
      </c>
      <c r="G93" s="95">
        <v>6</v>
      </c>
      <c r="I93" s="54"/>
    </row>
    <row r="94" spans="2:9" s="38" customFormat="1" ht="14.5" outlineLevel="1">
      <c r="B94" s="54">
        <f t="shared" si="10"/>
        <v>83</v>
      </c>
      <c r="C94" s="55">
        <f>$C$11*(1+Premissas!$C$17)^(B94/12)-1</f>
        <v>183810.74106842504</v>
      </c>
      <c r="D94" s="56">
        <f t="shared" si="11"/>
        <v>2761.608817073261</v>
      </c>
      <c r="E94" s="56">
        <f>IF(-Financiamento!I103-Investimentos!D94&gt;0,-Financiamento!I103-Investimentos!D94,0)</f>
        <v>1410.0444807463282</v>
      </c>
      <c r="F94" s="93">
        <f>FV((1+Premissas!$C$17)^(1/12)-1,Premissas!$C$23-B93,0,-E94)</f>
        <v>10832.381209997609</v>
      </c>
      <c r="G94" s="95">
        <v>6</v>
      </c>
      <c r="I94" s="54"/>
    </row>
    <row r="95" spans="2:9" s="38" customFormat="1" ht="14.5" outlineLevel="1">
      <c r="B95" s="54">
        <f t="shared" si="10"/>
        <v>84</v>
      </c>
      <c r="C95" s="55">
        <f>$C$11*(1+Premissas!$C$17)^(B95/12)-1</f>
        <v>185163.81627495427</v>
      </c>
      <c r="D95" s="88">
        <f t="shared" ref="D95:D106" si="12">D94</f>
        <v>2761.608817073261</v>
      </c>
      <c r="E95" s="56">
        <f>IF(-Financiamento!I104-Investimentos!D95&gt;0,-Financiamento!I104-Investimentos!D95,0)</f>
        <v>1404.6935551676961</v>
      </c>
      <c r="F95" s="93">
        <f>FV((1+Premissas!$C$17)^(1/12)-1,Premissas!$C$23-B94,0,-E95)</f>
        <v>10712.417546961902</v>
      </c>
      <c r="G95" s="95">
        <v>6</v>
      </c>
      <c r="I95" s="54"/>
    </row>
    <row r="96" spans="2:9" s="38" customFormat="1" ht="14.5" outlineLevel="1">
      <c r="B96" s="54">
        <f t="shared" si="10"/>
        <v>85</v>
      </c>
      <c r="C96" s="55">
        <f>$C$11*(1+Premissas!$C$17)^(B96/12)-1</f>
        <v>186526.85174029978</v>
      </c>
      <c r="D96" s="89">
        <f>D95*((1+Premissas!$C$15)*(1+Premissas!$C$12))</f>
        <v>2914.1877042165588</v>
      </c>
      <c r="E96" s="56">
        <f>IF(-Financiamento!I105-Investimentos!D96&gt;0,-Financiamento!I105-Investimentos!D96,0)</f>
        <v>1246.7438194286842</v>
      </c>
      <c r="F96" s="93">
        <f>FV((1+Premissas!$C$17)^(1/12)-1,Premissas!$C$23-B95,0,-E96)</f>
        <v>9438.3897333045024</v>
      </c>
      <c r="G96" s="95">
        <v>6</v>
      </c>
      <c r="I96" s="54"/>
    </row>
    <row r="97" spans="2:9" s="38" customFormat="1" ht="14.5" outlineLevel="1">
      <c r="B97" s="54">
        <f t="shared" si="10"/>
        <v>86</v>
      </c>
      <c r="C97" s="55">
        <f>$C$11*(1+Premissas!$C$17)^(B97/12)-1</f>
        <v>187899.92078393072</v>
      </c>
      <c r="D97" s="56">
        <f t="shared" si="12"/>
        <v>2914.1877042165588</v>
      </c>
      <c r="E97" s="56">
        <f>IF(-Financiamento!I106-Investimentos!D97&gt;0,-Financiamento!I106-Investimentos!D97,0)</f>
        <v>1241.3530063087765</v>
      </c>
      <c r="F97" s="93">
        <f>FV((1+Premissas!$C$17)^(1/12)-1,Premissas!$C$23-B96,0,-E97)</f>
        <v>9328.9069861303597</v>
      </c>
      <c r="G97" s="95">
        <v>6</v>
      </c>
      <c r="I97" s="54"/>
    </row>
    <row r="98" spans="2:9" s="38" customFormat="1" ht="14.5" outlineLevel="1">
      <c r="B98" s="54">
        <f t="shared" si="10"/>
        <v>87</v>
      </c>
      <c r="C98" s="55">
        <f>$C$11*(1+Premissas!$C$17)^(B98/12)-1</f>
        <v>189283.09726503538</v>
      </c>
      <c r="D98" s="56">
        <f t="shared" si="12"/>
        <v>2914.1877042165588</v>
      </c>
      <c r="E98" s="56">
        <f>IF(-Financiamento!I107-Investimentos!D98&gt;0,-Financiamento!I107-Investimentos!D98,0)</f>
        <v>1235.9421870851656</v>
      </c>
      <c r="F98" s="93">
        <f>FV((1+Premissas!$C$17)^(1/12)-1,Premissas!$C$23-B97,0,-E98)</f>
        <v>9220.3710667236519</v>
      </c>
      <c r="G98" s="95">
        <v>6</v>
      </c>
      <c r="I98" s="54"/>
    </row>
    <row r="99" spans="2:9" s="38" customFormat="1" ht="14.5" outlineLevel="1">
      <c r="B99" s="54">
        <f t="shared" si="10"/>
        <v>88</v>
      </c>
      <c r="C99" s="55">
        <f>$C$11*(1+Premissas!$C$17)^(B99/12)-1</f>
        <v>190676.45558649453</v>
      </c>
      <c r="D99" s="56">
        <f t="shared" si="12"/>
        <v>2914.1877042165588</v>
      </c>
      <c r="E99" s="56">
        <f>IF(-Financiamento!I108-Investimentos!D99&gt;0,-Financiamento!I108-Investimentos!D99,0)</f>
        <v>1230.5113201058475</v>
      </c>
      <c r="F99" s="93">
        <f>FV((1+Premissas!$C$17)^(1/12)-1,Premissas!$C$23-B98,0,-E99)</f>
        <v>9112.7747657186155</v>
      </c>
      <c r="G99" s="95">
        <v>6</v>
      </c>
      <c r="I99" s="54"/>
    </row>
    <row r="100" spans="2:9" s="38" customFormat="1" ht="14.5" outlineLevel="1">
      <c r="B100" s="54">
        <f t="shared" si="10"/>
        <v>89</v>
      </c>
      <c r="C100" s="55">
        <f>$C$11*(1+Premissas!$C$17)^(B100/12)-1</f>
        <v>192080.07069888344</v>
      </c>
      <c r="D100" s="56">
        <f t="shared" si="12"/>
        <v>2914.1877042165588</v>
      </c>
      <c r="E100" s="56">
        <f>IF(-Financiamento!I109-Investimentos!D100&gt;0,-Financiamento!I109-Investimentos!D100,0)</f>
        <v>1225.0603636462092</v>
      </c>
      <c r="F100" s="93">
        <f>FV((1+Premissas!$C$17)^(1/12)-1,Premissas!$C$23-B99,0,-E100)</f>
        <v>9006.1109245587922</v>
      </c>
      <c r="G100" s="95">
        <v>6</v>
      </c>
      <c r="I100" s="54"/>
    </row>
    <row r="101" spans="2:9" s="38" customFormat="1" ht="14.5" outlineLevel="1">
      <c r="B101" s="54">
        <f t="shared" si="10"/>
        <v>90</v>
      </c>
      <c r="C101" s="55">
        <f>$C$11*(1+Premissas!$C$17)^(B101/12)-1</f>
        <v>193494.01810450372</v>
      </c>
      <c r="D101" s="56">
        <f t="shared" si="12"/>
        <v>2914.1877042165588</v>
      </c>
      <c r="E101" s="56">
        <f>IF(-Financiamento!I110-Investimentos!D101&gt;0,-Financiamento!I110-Investimentos!D101,0)</f>
        <v>1219.5892759089338</v>
      </c>
      <c r="F101" s="93">
        <f>FV((1+Premissas!$C$17)^(1/12)-1,Premissas!$C$23-B100,0,-E101)</f>
        <v>8900.3724351592664</v>
      </c>
      <c r="G101" s="95">
        <v>6</v>
      </c>
      <c r="I101" s="54"/>
    </row>
    <row r="102" spans="2:9" s="38" customFormat="1" ht="14.5" outlineLevel="1">
      <c r="B102" s="54">
        <f t="shared" si="10"/>
        <v>91</v>
      </c>
      <c r="C102" s="55">
        <f>$C$11*(1+Premissas!$C$17)^(B102/12)-1</f>
        <v>194918.3738614445</v>
      </c>
      <c r="D102" s="56">
        <f t="shared" si="12"/>
        <v>2914.1877042165588</v>
      </c>
      <c r="E102" s="56">
        <f>IF(-Financiamento!I111-Investimentos!D102&gt;0,-Financiamento!I111-Investimentos!D102,0)</f>
        <v>1214.0980150238865</v>
      </c>
      <c r="F102" s="93">
        <f>FV((1+Premissas!$C$17)^(1/12)-1,Premissas!$C$23-B101,0,-E102)</f>
        <v>8795.5522395708722</v>
      </c>
      <c r="G102" s="95">
        <v>6</v>
      </c>
      <c r="I102" s="54"/>
    </row>
    <row r="103" spans="2:9" s="38" customFormat="1" ht="14.5" outlineLevel="1">
      <c r="B103" s="54">
        <f t="shared" si="10"/>
        <v>92</v>
      </c>
      <c r="C103" s="55">
        <f>$C$11*(1+Premissas!$C$17)^(B103/12)-1</f>
        <v>196353.21458767398</v>
      </c>
      <c r="D103" s="56">
        <f t="shared" si="12"/>
        <v>2914.1877042165588</v>
      </c>
      <c r="E103" s="56">
        <f>IF(-Financiamento!I112-Investimentos!D103&gt;0,-Financiamento!I112-Investimentos!D103,0)</f>
        <v>1208.5865390480176</v>
      </c>
      <c r="F103" s="93">
        <f>FV((1+Premissas!$C$17)^(1/12)-1,Premissas!$C$23-B102,0,-E103)</f>
        <v>8691.6433296466821</v>
      </c>
      <c r="G103" s="95">
        <v>6</v>
      </c>
      <c r="I103" s="54"/>
    </row>
    <row r="104" spans="2:9" s="38" customFormat="1" ht="14.5" outlineLevel="1">
      <c r="B104" s="54">
        <f t="shared" si="10"/>
        <v>93</v>
      </c>
      <c r="C104" s="55">
        <f>$C$11*(1+Premissas!$C$17)^(B104/12)-1</f>
        <v>197798.61746516044</v>
      </c>
      <c r="D104" s="56">
        <f t="shared" si="12"/>
        <v>2914.1877042165588</v>
      </c>
      <c r="E104" s="56">
        <f>IF(-Financiamento!I113-Investimentos!D104&gt;0,-Financiamento!I113-Investimentos!D104,0)</f>
        <v>1203.0548059652538</v>
      </c>
      <c r="F104" s="93">
        <f>FV((1+Premissas!$C$17)^(1/12)-1,Premissas!$C$23-B103,0,-E104)</f>
        <v>8588.6387467104651</v>
      </c>
      <c r="G104" s="95">
        <v>6</v>
      </c>
      <c r="I104" s="54"/>
    </row>
    <row r="105" spans="2:9" s="38" customFormat="1" ht="14.5" outlineLevel="1">
      <c r="B105" s="54">
        <f t="shared" si="10"/>
        <v>94</v>
      </c>
      <c r="C105" s="55">
        <f>$C$11*(1+Premissas!$C$17)^(B105/12)-1</f>
        <v>199254.66024402427</v>
      </c>
      <c r="D105" s="56">
        <f t="shared" si="12"/>
        <v>2914.1877042165588</v>
      </c>
      <c r="E105" s="56">
        <f>IF(-Financiamento!I114-Investimentos!D105&gt;0,-Financiamento!I114-Investimentos!D105,0)</f>
        <v>1197.5027736863958</v>
      </c>
      <c r="F105" s="93">
        <f>FV((1+Premissas!$C$17)^(1/12)-1,Premissas!$C$23-B104,0,-E105)</f>
        <v>8486.5315812273438</v>
      </c>
      <c r="G105" s="95">
        <v>6</v>
      </c>
      <c r="I105" s="54"/>
    </row>
    <row r="106" spans="2:9" s="38" customFormat="1" ht="14.5" outlineLevel="1">
      <c r="B106" s="54">
        <f t="shared" si="10"/>
        <v>95</v>
      </c>
      <c r="C106" s="55">
        <f>$C$11*(1+Premissas!$C$17)^(B106/12)-1</f>
        <v>200721.42124672016</v>
      </c>
      <c r="D106" s="56">
        <f t="shared" si="12"/>
        <v>2914.1877042165588</v>
      </c>
      <c r="E106" s="56">
        <f>IF(-Financiamento!I115-Investimentos!D106&gt;0,-Financiamento!I115-Investimentos!D106,0)</f>
        <v>1191.9304000490129</v>
      </c>
      <c r="F106" s="93">
        <f>FV((1+Premissas!$C$17)^(1/12)-1,Premissas!$C$23-B105,0,-E106)</f>
        <v>8385.3149724764426</v>
      </c>
      <c r="G106" s="95">
        <v>6</v>
      </c>
      <c r="I106" s="54"/>
    </row>
    <row r="107" spans="2:9" s="38" customFormat="1" ht="14.5" outlineLevel="1">
      <c r="B107" s="54">
        <f t="shared" si="10"/>
        <v>96</v>
      </c>
      <c r="C107" s="55">
        <f>$C$11*(1+Premissas!$C$17)^(B107/12)-1</f>
        <v>202198.97937225006</v>
      </c>
      <c r="D107" s="88">
        <f t="shared" ref="D107:D118" si="13">D106</f>
        <v>2914.1877042165588</v>
      </c>
      <c r="E107" s="56">
        <f>IF(-Financiamento!I116-Investimentos!D107&gt;0,-Financiamento!I116-Investimentos!D107,0)</f>
        <v>1186.3376428173424</v>
      </c>
      <c r="F107" s="93">
        <f>FV((1+Premissas!$C$17)^(1/12)-1,Premissas!$C$23-B106,0,-E107)</f>
        <v>8284.9821082257113</v>
      </c>
      <c r="G107" s="95">
        <v>6</v>
      </c>
      <c r="I107" s="54"/>
    </row>
    <row r="108" spans="2:9" s="38" customFormat="1" ht="14.5" outlineLevel="1">
      <c r="B108" s="54">
        <f t="shared" si="10"/>
        <v>97</v>
      </c>
      <c r="C108" s="55">
        <f>$C$11*(1+Premissas!$C$17)^(B108/12)-1</f>
        <v>203687.41410040739</v>
      </c>
      <c r="D108" s="89">
        <f>D107*((1+Premissas!$C$15)*(1+Premissas!$C$12))</f>
        <v>3075.1965748745238</v>
      </c>
      <c r="E108" s="56">
        <f>IF(-Financiamento!I117-Investimentos!D108&gt;0,-Financiamento!I117-Investimentos!D108,0)</f>
        <v>1019.7155890242184</v>
      </c>
      <c r="F108" s="93">
        <f>FV((1+Premissas!$C$17)^(1/12)-1,Premissas!$C$23-B107,0,-E108)</f>
        <v>7069.3112410348904</v>
      </c>
      <c r="G108" s="95">
        <v>6</v>
      </c>
      <c r="I108" s="54"/>
    </row>
    <row r="109" spans="2:9" s="38" customFormat="1" ht="14.5" outlineLevel="1">
      <c r="B109" s="54">
        <f t="shared" si="10"/>
        <v>98</v>
      </c>
      <c r="C109" s="55">
        <f>$C$11*(1+Premissas!$C$17)^(B109/12)-1</f>
        <v>205186.80549605234</v>
      </c>
      <c r="D109" s="56">
        <f t="shared" si="13"/>
        <v>3075.1965748745238</v>
      </c>
      <c r="E109" s="56">
        <f>IF(-Financiamento!I118-Investimentos!D109&gt;0,-Financiamento!I118-Investimentos!D109,0)</f>
        <v>1014.0819376028248</v>
      </c>
      <c r="F109" s="93">
        <f>FV((1+Premissas!$C$17)^(1/12)-1,Premissas!$C$23-B108,0,-E109)</f>
        <v>6978.8822618192025</v>
      </c>
      <c r="G109" s="95">
        <v>6</v>
      </c>
      <c r="I109" s="54"/>
    </row>
    <row r="110" spans="2:9" s="38" customFormat="1" ht="14.5" outlineLevel="1">
      <c r="B110" s="54">
        <f t="shared" si="10"/>
        <v>99</v>
      </c>
      <c r="C110" s="55">
        <f>$C$11*(1+Premissas!$C$17)^(B110/12)-1</f>
        <v>206697.23421341868</v>
      </c>
      <c r="D110" s="56">
        <f t="shared" si="13"/>
        <v>3075.1965748745238</v>
      </c>
      <c r="E110" s="56">
        <f>IF(-Financiamento!I119-Investimentos!D110&gt;0,-Financiamento!I119-Investimentos!D110,0)</f>
        <v>1008.4277754388077</v>
      </c>
      <c r="F110" s="93">
        <f>FV((1+Premissas!$C$17)^(1/12)-1,Premissas!$C$23-B109,0,-E110)</f>
        <v>6889.2572742041302</v>
      </c>
      <c r="G110" s="95">
        <v>6</v>
      </c>
      <c r="I110" s="54"/>
    </row>
    <row r="111" spans="2:9" s="38" customFormat="1" ht="14.5" outlineLevel="1">
      <c r="B111" s="54">
        <f t="shared" si="10"/>
        <v>100</v>
      </c>
      <c r="C111" s="55">
        <f>$C$11*(1+Premissas!$C$17)^(B111/12)-1</f>
        <v>208218.78150045205</v>
      </c>
      <c r="D111" s="56">
        <f t="shared" si="13"/>
        <v>3075.1965748745238</v>
      </c>
      <c r="E111" s="56">
        <f>IF(-Financiamento!I120-Investimentos!D111&gt;0,-Financiamento!I120-Investimentos!D111,0)</f>
        <v>1002.7530600020355</v>
      </c>
      <c r="F111" s="93">
        <f>FV((1+Premissas!$C$17)^(1/12)-1,Premissas!$C$23-B110,0,-E111)</f>
        <v>6800.4300922516468</v>
      </c>
      <c r="G111" s="95">
        <v>6</v>
      </c>
      <c r="I111" s="54"/>
    </row>
    <row r="112" spans="2:9" s="38" customFormat="1" ht="14.5" outlineLevel="1">
      <c r="B112" s="54">
        <f t="shared" si="10"/>
        <v>101</v>
      </c>
      <c r="C112" s="55">
        <f>$C$11*(1+Premissas!$C$17)^(B112/12)-1</f>
        <v>209751.52920318072</v>
      </c>
      <c r="D112" s="56">
        <f t="shared" si="13"/>
        <v>3075.1965748745238</v>
      </c>
      <c r="E112" s="56">
        <f>IF(-Financiamento!I121-Investimentos!D112&gt;0,-Financiamento!I121-Investimentos!D112,0)</f>
        <v>997.05774868852086</v>
      </c>
      <c r="F112" s="93">
        <f>FV((1+Premissas!$C$17)^(1/12)-1,Premissas!$C$23-B111,0,-E112)</f>
        <v>6712.3945737341628</v>
      </c>
      <c r="G112" s="95">
        <v>6</v>
      </c>
      <c r="I112" s="54"/>
    </row>
    <row r="113" spans="2:9" s="38" customFormat="1" ht="14.5" outlineLevel="1">
      <c r="B113" s="54">
        <f t="shared" si="10"/>
        <v>102</v>
      </c>
      <c r="C113" s="55">
        <f>$C$11*(1+Premissas!$C$17)^(B113/12)-1</f>
        <v>211295.55977011807</v>
      </c>
      <c r="D113" s="56">
        <f t="shared" si="13"/>
        <v>3075.1965748745238</v>
      </c>
      <c r="E113" s="56">
        <f>IF(-Financiamento!I122-Investimentos!D113&gt;0,-Financiamento!I122-Investimentos!D113,0)</f>
        <v>991.34179882032458</v>
      </c>
      <c r="F113" s="93">
        <f>FV((1+Premissas!$C$17)^(1/12)-1,Premissas!$C$23-B112,0,-E113)</f>
        <v>6625.1446198447693</v>
      </c>
      <c r="G113" s="95">
        <v>6</v>
      </c>
      <c r="I113" s="54"/>
    </row>
    <row r="114" spans="2:9" s="38" customFormat="1" ht="14.5" outlineLevel="1">
      <c r="B114" s="54">
        <f t="shared" si="10"/>
        <v>103</v>
      </c>
      <c r="C114" s="55">
        <f>$C$11*(1+Premissas!$C$17)^(B114/12)-1</f>
        <v>212850.95625669745</v>
      </c>
      <c r="D114" s="56">
        <f t="shared" si="13"/>
        <v>3075.1965748745238</v>
      </c>
      <c r="E114" s="56">
        <f>IF(-Financiamento!I123-Investimentos!D114&gt;0,-Financiamento!I123-Investimentos!D114,0)</f>
        <v>985.60516764545673</v>
      </c>
      <c r="F114" s="93">
        <f>FV((1+Premissas!$C$17)^(1/12)-1,Premissas!$C$23-B113,0,-E114)</f>
        <v>6538.6741749092471</v>
      </c>
      <c r="G114" s="95">
        <v>6</v>
      </c>
      <c r="I114" s="54"/>
    </row>
    <row r="115" spans="2:9" s="38" customFormat="1" ht="14.5" outlineLevel="1">
      <c r="B115" s="54">
        <f t="shared" si="10"/>
        <v>104</v>
      </c>
      <c r="C115" s="55">
        <f>$C$11*(1+Premissas!$C$17)^(B115/12)-1</f>
        <v>214417.80232973996</v>
      </c>
      <c r="D115" s="56">
        <f t="shared" si="13"/>
        <v>3075.1965748745238</v>
      </c>
      <c r="E115" s="56">
        <f>IF(-Financiamento!I124-Investimentos!D115&gt;0,-Financiamento!I124-Investimentos!D115,0)</f>
        <v>979.84781233776766</v>
      </c>
      <c r="F115" s="93">
        <f>FV((1+Premissas!$C$17)^(1/12)-1,Premissas!$C$23-B114,0,-E115)</f>
        <v>6452.9772260998325</v>
      </c>
      <c r="G115" s="95">
        <v>6</v>
      </c>
      <c r="I115" s="54"/>
    </row>
    <row r="116" spans="2:9" s="38" customFormat="1" ht="14.5" outlineLevel="1">
      <c r="B116" s="54">
        <f t="shared" si="10"/>
        <v>105</v>
      </c>
      <c r="C116" s="55">
        <f>$C$11*(1+Premissas!$C$17)^(B116/12)-1</f>
        <v>215996.18227195521</v>
      </c>
      <c r="D116" s="56">
        <f t="shared" si="13"/>
        <v>3075.1965748745238</v>
      </c>
      <c r="E116" s="56">
        <f>IF(-Financiamento!I125-Investimentos!D116&gt;0,-Financiamento!I125-Investimentos!D116,0)</f>
        <v>974.06968999684977</v>
      </c>
      <c r="F116" s="93">
        <f>FV((1+Premissas!$C$17)^(1/12)-1,Premissas!$C$23-B115,0,-E116)</f>
        <v>6368.0478031508219</v>
      </c>
      <c r="G116" s="95">
        <v>6</v>
      </c>
      <c r="I116" s="54"/>
    </row>
    <row r="117" spans="2:9" s="38" customFormat="1" ht="14.5" outlineLevel="1">
      <c r="B117" s="54">
        <f t="shared" si="10"/>
        <v>106</v>
      </c>
      <c r="C117" s="55">
        <f>$C$11*(1+Premissas!$C$17)^(B117/12)-1</f>
        <v>217586.18098647453</v>
      </c>
      <c r="D117" s="56">
        <f t="shared" si="13"/>
        <v>3075.1965748745238</v>
      </c>
      <c r="E117" s="56">
        <f>IF(-Financiamento!I126-Investimentos!D117&gt;0,-Financiamento!I126-Investimentos!D117,0)</f>
        <v>968.27075764793881</v>
      </c>
      <c r="F117" s="93">
        <f>FV((1+Premissas!$C$17)^(1/12)-1,Premissas!$C$23-B116,0,-E117)</f>
        <v>6283.8799780759809</v>
      </c>
      <c r="G117" s="95">
        <v>6</v>
      </c>
      <c r="I117" s="54"/>
    </row>
    <row r="118" spans="2:9" s="38" customFormat="1" ht="14.5" outlineLevel="1">
      <c r="B118" s="54">
        <f t="shared" si="10"/>
        <v>107</v>
      </c>
      <c r="C118" s="55">
        <f>$C$11*(1+Premissas!$C$17)^(B118/12)-1</f>
        <v>219187.8840014184</v>
      </c>
      <c r="D118" s="56">
        <f t="shared" si="13"/>
        <v>3075.1965748745238</v>
      </c>
      <c r="E118" s="56">
        <f>IF(-Financiamento!I127-Investimentos!D118&gt;0,-Financiamento!I127-Investimentos!D118,0)</f>
        <v>962.45097224180699</v>
      </c>
      <c r="F118" s="93">
        <f>FV((1+Premissas!$C$17)^(1/12)-1,Premissas!$C$23-B117,0,-E118)</f>
        <v>6200.4678648876425</v>
      </c>
      <c r="G118" s="95">
        <v>6</v>
      </c>
      <c r="I118" s="54"/>
    </row>
    <row r="119" spans="2:9" s="38" customFormat="1" ht="14.5" outlineLevel="1">
      <c r="B119" s="54">
        <f t="shared" si="10"/>
        <v>108</v>
      </c>
      <c r="C119" s="55">
        <f>$C$11*(1+Premissas!$C$17)^(B119/12)-1</f>
        <v>220801.3774744971</v>
      </c>
      <c r="D119" s="88">
        <f t="shared" ref="D119:D130" si="14">D118</f>
        <v>3075.1965748745238</v>
      </c>
      <c r="E119" s="56">
        <f>IF(-Financiamento!I128-Investimentos!D119&gt;0,-Financiamento!I128-Investimentos!D119,0)</f>
        <v>956.61029065466801</v>
      </c>
      <c r="F119" s="93">
        <f>FV((1+Premissas!$C$17)^(1/12)-1,Premissas!$C$23-B118,0,-E119)</f>
        <v>6117.8056193176708</v>
      </c>
      <c r="G119" s="95">
        <v>6</v>
      </c>
      <c r="I119" s="54"/>
    </row>
    <row r="120" spans="2:9" s="38" customFormat="1" ht="14.5" outlineLevel="1">
      <c r="B120" s="54">
        <f t="shared" si="10"/>
        <v>109</v>
      </c>
      <c r="C120" s="55">
        <f>$C$11*(1+Premissas!$C$17)^(B120/12)-1</f>
        <v>222426.74819764492</v>
      </c>
      <c r="D120" s="89">
        <f>D119*((1+Premissas!$C$15)*(1+Premissas!$C$12))</f>
        <v>3245.1011856363411</v>
      </c>
      <c r="E120" s="56">
        <f>IF(-Financiamento!I129-Investimentos!D120&gt;0,-Financiamento!I129-Investimentos!D120,0)</f>
        <v>780.84405892625682</v>
      </c>
      <c r="F120" s="93">
        <f>FV((1+Premissas!$C$17)^(1/12)-1,Premissas!$C$23-B119,0,-E120)</f>
        <v>4957.2373824913648</v>
      </c>
      <c r="G120" s="95">
        <v>6</v>
      </c>
      <c r="I120" s="54"/>
    </row>
    <row r="121" spans="2:9" s="38" customFormat="1" ht="14.5" outlineLevel="1">
      <c r="B121" s="54">
        <f t="shared" si="10"/>
        <v>110</v>
      </c>
      <c r="C121" s="55">
        <f>$C$11*(1+Premissas!$C$17)^(B121/12)-1</f>
        <v>224064.08360168917</v>
      </c>
      <c r="D121" s="56">
        <f t="shared" si="14"/>
        <v>3245.1011856363411</v>
      </c>
      <c r="E121" s="56">
        <f>IF(-Financiamento!I130-Investimentos!D121&gt;0,-Financiamento!I130-Investimentos!D121,0)</f>
        <v>774.96145530700005</v>
      </c>
      <c r="F121" s="93">
        <f>FV((1+Premissas!$C$17)^(1/12)-1,Premissas!$C$23-B120,0,-E121)</f>
        <v>4883.9396429155959</v>
      </c>
      <c r="G121" s="95">
        <v>6</v>
      </c>
      <c r="I121" s="54"/>
    </row>
    <row r="122" spans="2:9" s="38" customFormat="1" ht="14.5" outlineLevel="1">
      <c r="B122" s="54">
        <f t="shared" si="10"/>
        <v>111</v>
      </c>
      <c r="C122" s="55">
        <f>$C$11*(1+Premissas!$C$17)^(B122/12)-1</f>
        <v>225713.47176105317</v>
      </c>
      <c r="D122" s="56">
        <f t="shared" si="14"/>
        <v>3245.1011856363411</v>
      </c>
      <c r="E122" s="56">
        <f>IF(-Financiamento!I131-Investimentos!D122&gt;0,-Financiamento!I131-Investimentos!D122,0)</f>
        <v>769.05782568701034</v>
      </c>
      <c r="F122" s="93">
        <f>FV((1+Premissas!$C$17)^(1/12)-1,Premissas!$C$23-B121,0,-E122)</f>
        <v>4811.3168876926275</v>
      </c>
      <c r="G122" s="95">
        <v>6</v>
      </c>
      <c r="I122" s="54"/>
    </row>
    <row r="123" spans="2:9" s="38" customFormat="1" ht="14.5" outlineLevel="1">
      <c r="B123" s="54">
        <f t="shared" si="10"/>
        <v>112</v>
      </c>
      <c r="C123" s="55">
        <f>$C$11*(1+Premissas!$C$17)^(B123/12)-1</f>
        <v>227375.00139849365</v>
      </c>
      <c r="D123" s="56">
        <f t="shared" si="14"/>
        <v>3245.1011856363411</v>
      </c>
      <c r="E123" s="56">
        <f>IF(-Financiamento!I132-Investimentos!D123&gt;0,-Financiamento!I132-Investimentos!D123,0)</f>
        <v>763.13312664326168</v>
      </c>
      <c r="F123" s="93">
        <f>FV((1+Premissas!$C$17)^(1/12)-1,Premissas!$C$23-B122,0,-E123)</f>
        <v>4739.3638575686791</v>
      </c>
      <c r="G123" s="95">
        <v>6</v>
      </c>
      <c r="I123" s="54"/>
    </row>
    <row r="124" spans="2:9" s="38" customFormat="1" ht="14.5" outlineLevel="1">
      <c r="B124" s="54">
        <f t="shared" si="10"/>
        <v>113</v>
      </c>
      <c r="C124" s="55">
        <f>$C$11*(1+Premissas!$C$17)^(B124/12)-1</f>
        <v>229048.76188987339</v>
      </c>
      <c r="D124" s="56">
        <f t="shared" si="14"/>
        <v>3245.1011856363411</v>
      </c>
      <c r="E124" s="56">
        <f>IF(-Financiamento!I133-Investimentos!D124&gt;0,-Financiamento!I133-Investimentos!D124,0)</f>
        <v>757.18731467766611</v>
      </c>
      <c r="F124" s="93">
        <f>FV((1+Premissas!$C$17)^(1/12)-1,Premissas!$C$23-B123,0,-E124)</f>
        <v>4668.0753305644548</v>
      </c>
      <c r="G124" s="95">
        <v>6</v>
      </c>
      <c r="I124" s="54"/>
    </row>
    <row r="125" spans="2:9" s="38" customFormat="1" ht="14.5" outlineLevel="1">
      <c r="B125" s="54">
        <f t="shared" si="10"/>
        <v>114</v>
      </c>
      <c r="C125" s="55">
        <f>$C$11*(1+Premissas!$C$17)^(B125/12)-1</f>
        <v>230734.84326896898</v>
      </c>
      <c r="D125" s="56">
        <f t="shared" si="14"/>
        <v>3245.1011856363411</v>
      </c>
      <c r="E125" s="56">
        <f>IF(-Financiamento!I134-Investimentos!D125&gt;0,-Financiamento!I134-Investimentos!D125,0)</f>
        <v>751.2203462169814</v>
      </c>
      <c r="F125" s="93">
        <f>FV((1+Premissas!$C$17)^(1/12)-1,Premissas!$C$23-B124,0,-E125)</f>
        <v>4597.4461217289363</v>
      </c>
      <c r="G125" s="95">
        <v>6</v>
      </c>
      <c r="I125" s="54"/>
    </row>
    <row r="126" spans="2:9" s="38" customFormat="1" ht="14.5" outlineLevel="1">
      <c r="B126" s="54">
        <f t="shared" si="10"/>
        <v>115</v>
      </c>
      <c r="C126" s="55">
        <f>$C$11*(1+Premissas!$C$17)^(B126/12)-1</f>
        <v>232433.33623231362</v>
      </c>
      <c r="D126" s="56">
        <f t="shared" si="14"/>
        <v>3245.1011856363411</v>
      </c>
      <c r="E126" s="56">
        <f>IF(-Financiamento!I135-Investimentos!D126&gt;0,-Financiamento!I135-Investimentos!D126,0)</f>
        <v>745.23217761271235</v>
      </c>
      <c r="F126" s="93">
        <f>FV((1+Premissas!$C$17)^(1/12)-1,Premissas!$C$23-B125,0,-E126)</f>
        <v>4527.4710828946354</v>
      </c>
      <c r="G126" s="95">
        <v>6</v>
      </c>
      <c r="I126" s="54"/>
    </row>
    <row r="127" spans="2:9" s="38" customFormat="1" ht="14.5" outlineLevel="1">
      <c r="B127" s="54">
        <f t="shared" si="10"/>
        <v>116</v>
      </c>
      <c r="C127" s="55">
        <f>$C$11*(1+Premissas!$C$17)^(B127/12)-1</f>
        <v>234144.33214407606</v>
      </c>
      <c r="D127" s="56">
        <f t="shared" si="14"/>
        <v>3245.1011856363411</v>
      </c>
      <c r="E127" s="56">
        <f>IF(-Financiamento!I136-Investimentos!D127&gt;0,-Financiamento!I136-Investimentos!D127,0)</f>
        <v>739.22276514101031</v>
      </c>
      <c r="F127" s="93">
        <f>FV((1+Premissas!$C$17)^(1/12)-1,Premissas!$C$23-B126,0,-E127)</f>
        <v>4458.1451024343805</v>
      </c>
      <c r="G127" s="95">
        <v>6</v>
      </c>
      <c r="I127" s="54"/>
    </row>
    <row r="128" spans="2:9" s="38" customFormat="1" ht="14.5" outlineLevel="1">
      <c r="B128" s="54">
        <f t="shared" si="10"/>
        <v>117</v>
      </c>
      <c r="C128" s="55">
        <f>$C$11*(1+Premissas!$C$17)^(B128/12)-1</f>
        <v>235867.92304097509</v>
      </c>
      <c r="D128" s="56">
        <f t="shared" si="14"/>
        <v>3245.1011856363411</v>
      </c>
      <c r="E128" s="56">
        <f>IF(-Financiamento!I137-Investimentos!D128&gt;0,-Financiamento!I137-Investimentos!D128,0)</f>
        <v>733.19206500258042</v>
      </c>
      <c r="F128" s="93">
        <f>FV((1+Premissas!$C$17)^(1/12)-1,Premissas!$C$23-B127,0,-E128)</f>
        <v>4389.4631050196158</v>
      </c>
      <c r="G128" s="95">
        <v>6</v>
      </c>
      <c r="I128" s="54"/>
    </row>
    <row r="129" spans="2:9" s="38" customFormat="1" ht="14.5" outlineLevel="1">
      <c r="B129" s="54">
        <f t="shared" si="10"/>
        <v>118</v>
      </c>
      <c r="C129" s="55">
        <f>$C$11*(1+Premissas!$C$17)^(B129/12)-1</f>
        <v>237604.20163723023</v>
      </c>
      <c r="D129" s="56">
        <f t="shared" si="14"/>
        <v>3245.1011856363411</v>
      </c>
      <c r="E129" s="56">
        <f>IF(-Financiamento!I138-Investimentos!D129&gt;0,-Financiamento!I138-Investimentos!D129,0)</f>
        <v>727.14003332258244</v>
      </c>
      <c r="F129" s="93">
        <f>FV((1+Premissas!$C$17)^(1/12)-1,Premissas!$C$23-B128,0,-E129)</f>
        <v>4321.4200513802089</v>
      </c>
      <c r="G129" s="95">
        <v>6</v>
      </c>
      <c r="I129" s="54"/>
    </row>
    <row r="130" spans="2:9" s="38" customFormat="1" ht="14.5" outlineLevel="1">
      <c r="B130" s="54">
        <f t="shared" si="10"/>
        <v>119</v>
      </c>
      <c r="C130" s="55">
        <f>$C$11*(1+Premissas!$C$17)^(B130/12)-1</f>
        <v>239353.2613295489</v>
      </c>
      <c r="D130" s="56">
        <f t="shared" si="14"/>
        <v>3245.1011856363411</v>
      </c>
      <c r="E130" s="56">
        <f>IF(-Financiamento!I139-Investimentos!D130&gt;0,-Financiamento!I139-Investimentos!D130,0)</f>
        <v>721.06662615053392</v>
      </c>
      <c r="F130" s="93">
        <f>FV((1+Premissas!$C$17)^(1/12)-1,Premissas!$C$23-B129,0,-E130)</f>
        <v>4254.0109380657132</v>
      </c>
      <c r="G130" s="95">
        <v>6</v>
      </c>
      <c r="I130" s="54"/>
    </row>
    <row r="131" spans="2:9" s="38" customFormat="1" ht="14.5" outlineLevel="1">
      <c r="B131" s="54">
        <f t="shared" si="10"/>
        <v>120</v>
      </c>
      <c r="C131" s="55">
        <f>$C$11*(1+Premissas!$C$17)^(B131/12)-1</f>
        <v>241115.19620215087</v>
      </c>
      <c r="D131" s="88">
        <f t="shared" ref="D131:D142" si="15">D130</f>
        <v>3245.1011856363411</v>
      </c>
      <c r="E131" s="56">
        <f>IF(-Financiamento!I140-Investimentos!D131&gt;0,-Financiamento!I140-Investimentos!D131,0)</f>
        <v>714.9717994602197</v>
      </c>
      <c r="F131" s="93">
        <f>FV((1+Premissas!$C$17)^(1/12)-1,Premissas!$C$23-B130,0,-E131)</f>
        <v>4187.2307972081835</v>
      </c>
      <c r="G131" s="95">
        <v>6</v>
      </c>
      <c r="I131" s="54"/>
    </row>
    <row r="132" spans="2:9" s="38" customFormat="1" ht="14.5" outlineLevel="1">
      <c r="B132" s="54">
        <f t="shared" si="10"/>
        <v>121</v>
      </c>
      <c r="C132" s="55">
        <f>$C$11*(1+Premissas!$C$17)^(B132/12)-1</f>
        <v>242890.10103182824</v>
      </c>
      <c r="D132" s="89">
        <f>D131*((1+Premissas!$C$15)*(1+Premissas!$C$12))</f>
        <v>3424.393026142749</v>
      </c>
      <c r="E132" s="56">
        <f>IF(-Financiamento!I141-Investimentos!D132&gt;0,-Financiamento!I141-Investimentos!D132,0)</f>
        <v>529.56366864318625</v>
      </c>
      <c r="F132" s="93">
        <f>FV((1+Premissas!$C$17)^(1/12)-1,Premissas!$C$23-B131,0,-E132)</f>
        <v>3078.7253632777611</v>
      </c>
      <c r="G132" s="95">
        <v>6</v>
      </c>
      <c r="I132" s="54"/>
    </row>
    <row r="133" spans="2:9" s="38" customFormat="1" ht="14.5" outlineLevel="1">
      <c r="B133" s="54">
        <f t="shared" si="10"/>
        <v>122</v>
      </c>
      <c r="C133" s="55">
        <f>$C$11*(1+Premissas!$C$17)^(B133/12)-1</f>
        <v>244678.07129304463</v>
      </c>
      <c r="D133" s="56">
        <f t="shared" si="15"/>
        <v>3424.393026142749</v>
      </c>
      <c r="E133" s="56">
        <f>IF(-Financiamento!I142-Investimentos!D133&gt;0,-Financiamento!I142-Investimentos!D133,0)</f>
        <v>523.42587053427678</v>
      </c>
      <c r="F133" s="93">
        <f>FV((1+Premissas!$C$17)^(1/12)-1,Premissas!$C$23-B132,0,-E133)</f>
        <v>3020.805278689772</v>
      </c>
      <c r="G133" s="95">
        <v>6</v>
      </c>
      <c r="I133" s="54"/>
    </row>
    <row r="134" spans="2:9" s="38" customFormat="1" ht="14.5" outlineLevel="1">
      <c r="B134" s="54">
        <f t="shared" si="10"/>
        <v>123</v>
      </c>
      <c r="C134" s="55">
        <f>$C$11*(1+Premissas!$C$17)^(B134/12)-1</f>
        <v>246479.20316307008</v>
      </c>
      <c r="D134" s="56">
        <f t="shared" si="15"/>
        <v>3424.393026142749</v>
      </c>
      <c r="E134" s="56">
        <f>IF(-Financiamento!I143-Investimentos!D134&gt;0,-Financiamento!I143-Investimentos!D134,0)</f>
        <v>517.26652037309577</v>
      </c>
      <c r="F134" s="93">
        <f>FV((1+Premissas!$C$17)^(1/12)-1,Premissas!$C$23-B133,0,-E134)</f>
        <v>2963.4438144807</v>
      </c>
      <c r="G134" s="95">
        <v>6</v>
      </c>
      <c r="I134" s="54"/>
    </row>
    <row r="135" spans="2:9" s="38" customFormat="1" ht="14.5" outlineLevel="1">
      <c r="B135" s="54">
        <f t="shared" si="10"/>
        <v>124</v>
      </c>
      <c r="C135" s="55">
        <f>$C$11*(1+Premissas!$C$17)^(B135/12)-1</f>
        <v>248293.59352715508</v>
      </c>
      <c r="D135" s="56">
        <f t="shared" si="15"/>
        <v>3424.393026142749</v>
      </c>
      <c r="E135" s="56">
        <f>IF(-Financiamento!I144-Investimentos!D135&gt;0,-Financiamento!I144-Investimentos!D135,0)</f>
        <v>511.08557382954268</v>
      </c>
      <c r="F135" s="93">
        <f>FV((1+Premissas!$C$17)^(1/12)-1,Premissas!$C$23-B134,0,-E135)</f>
        <v>2906.636549497242</v>
      </c>
      <c r="G135" s="95">
        <v>6</v>
      </c>
      <c r="I135" s="54"/>
    </row>
    <row r="136" spans="2:9" s="38" customFormat="1" ht="14.5" outlineLevel="1">
      <c r="B136" s="54">
        <f t="shared" si="10"/>
        <v>125</v>
      </c>
      <c r="C136" s="55">
        <f>$C$11*(1+Premissas!$C$17)^(B136/12)-1</f>
        <v>250121.33998374172</v>
      </c>
      <c r="D136" s="56">
        <f t="shared" si="15"/>
        <v>3424.393026142749</v>
      </c>
      <c r="E136" s="56">
        <f>IF(-Financiamento!I145-Investimentos!D136&gt;0,-Financiamento!I145-Investimentos!D136,0)</f>
        <v>504.8829864973145</v>
      </c>
      <c r="F136" s="93">
        <f>FV((1+Premissas!$C$17)^(1/12)-1,Premissas!$C$23-B135,0,-E136)</f>
        <v>2850.3790940322615</v>
      </c>
      <c r="G136" s="95">
        <v>6</v>
      </c>
      <c r="I136" s="54"/>
    </row>
    <row r="137" spans="2:9" s="38" customFormat="1" ht="14.5" outlineLevel="1">
      <c r="B137" s="54">
        <f t="shared" si="10"/>
        <v>126</v>
      </c>
      <c r="C137" s="55">
        <f>$C$11*(1+Premissas!$C$17)^(B137/12)-1</f>
        <v>251962.5408497141</v>
      </c>
      <c r="D137" s="56">
        <f t="shared" si="15"/>
        <v>3424.393026142749</v>
      </c>
      <c r="E137" s="56">
        <f>IF(-Financiamento!I146-Investimentos!D137&gt;0,-Financiamento!I146-Investimentos!D137,0)</f>
        <v>498.65871389381391</v>
      </c>
      <c r="F137" s="93">
        <f>FV((1+Premissas!$C$17)^(1/12)-1,Premissas!$C$23-B136,0,-E137)</f>
        <v>2794.667089618008</v>
      </c>
      <c r="G137" s="95">
        <v>6</v>
      </c>
      <c r="I137" s="54"/>
    </row>
    <row r="138" spans="2:9" s="38" customFormat="1" ht="14.5" outlineLevel="1">
      <c r="B138" s="54">
        <f t="shared" si="10"/>
        <v>127</v>
      </c>
      <c r="C138" s="55">
        <f>$C$11*(1+Premissas!$C$17)^(B138/12)-1</f>
        <v>253817.29516568652</v>
      </c>
      <c r="D138" s="56">
        <f t="shared" si="15"/>
        <v>3424.393026142749</v>
      </c>
      <c r="E138" s="56">
        <f>IF(-Financiamento!I147-Investimentos!D138&gt;0,-Financiamento!I147-Investimentos!D138,0)</f>
        <v>492.41271146005556</v>
      </c>
      <c r="F138" s="93">
        <f>FV((1+Premissas!$C$17)^(1/12)-1,Premissas!$C$23-B137,0,-E138)</f>
        <v>2739.4962088205662</v>
      </c>
      <c r="G138" s="95">
        <v>6</v>
      </c>
      <c r="I138" s="54"/>
    </row>
    <row r="139" spans="2:9" s="38" customFormat="1" ht="14.5" outlineLevel="1">
      <c r="B139" s="54">
        <f t="shared" si="10"/>
        <v>128</v>
      </c>
      <c r="C139" s="55">
        <f>$C$11*(1+Premissas!$C$17)^(B139/12)-1</f>
        <v>255685.70270133106</v>
      </c>
      <c r="D139" s="56">
        <f t="shared" si="15"/>
        <v>3424.393026142749</v>
      </c>
      <c r="E139" s="56">
        <f>IF(-Financiamento!I148-Investimentos!D139&gt;0,-Financiamento!I148-Investimentos!D139,0)</f>
        <v>486.14493456058381</v>
      </c>
      <c r="F139" s="93">
        <f>FV((1+Premissas!$C$17)^(1/12)-1,Premissas!$C$23-B138,0,-E139)</f>
        <v>2684.8621550356479</v>
      </c>
      <c r="G139" s="95">
        <v>6</v>
      </c>
      <c r="I139" s="54"/>
    </row>
    <row r="140" spans="2:9" s="38" customFormat="1" ht="14.5" outlineLevel="1">
      <c r="B140" s="54">
        <f t="shared" si="10"/>
        <v>129</v>
      </c>
      <c r="C140" s="55">
        <f>$C$11*(1+Premissas!$C$17)^(B140/12)-1</f>
        <v>257567.86396074484</v>
      </c>
      <c r="D140" s="56">
        <f t="shared" si="15"/>
        <v>3424.393026142749</v>
      </c>
      <c r="E140" s="56">
        <f>IF(-Financiamento!I149-Investimentos!D140&gt;0,-Financiamento!I149-Investimentos!D140,0)</f>
        <v>479.85533848337218</v>
      </c>
      <c r="F140" s="93">
        <f>FV((1+Premissas!$C$17)^(1/12)-1,Premissas!$C$23-B139,0,-E140)</f>
        <v>2630.7606622855055</v>
      </c>
      <c r="G140" s="95">
        <v>6</v>
      </c>
      <c r="I140" s="54"/>
    </row>
    <row r="141" spans="2:9" s="38" customFormat="1" ht="14.5" outlineLevel="1">
      <c r="B141" s="54">
        <f t="shared" ref="B141:B204" si="16">B140+1</f>
        <v>130</v>
      </c>
      <c r="C141" s="55">
        <f>$C$11*(1+Premissas!$C$17)^(B141/12)-1</f>
        <v>259463.88018785539</v>
      </c>
      <c r="D141" s="56">
        <f t="shared" si="15"/>
        <v>3424.393026142749</v>
      </c>
      <c r="E141" s="56">
        <f>IF(-Financiamento!I150-Investimentos!D141&gt;0,-Financiamento!I150-Investimentos!D141,0)</f>
        <v>473.54387843974519</v>
      </c>
      <c r="F141" s="93">
        <f>FV((1+Premissas!$C$17)^(1/12)-1,Premissas!$C$23-B140,0,-E141)</f>
        <v>2577.1874950172341</v>
      </c>
      <c r="G141" s="95">
        <v>6</v>
      </c>
      <c r="I141" s="54"/>
    </row>
    <row r="142" spans="2:9" s="38" customFormat="1" ht="14.5" outlineLevel="1">
      <c r="B142" s="54">
        <f t="shared" si="16"/>
        <v>131</v>
      </c>
      <c r="C142" s="55">
        <f>$C$11*(1+Premissas!$C$17)^(B142/12)-1</f>
        <v>261373.85337186744</v>
      </c>
      <c r="D142" s="56">
        <f t="shared" si="15"/>
        <v>3424.393026142749</v>
      </c>
      <c r="E142" s="56">
        <f>IF(-Financiamento!I151-Investimentos!D142&gt;0,-Financiamento!I151-Investimentos!D142,0)</f>
        <v>467.21050956428098</v>
      </c>
      <c r="F142" s="93">
        <f>FV((1+Premissas!$C$17)^(1/12)-1,Premissas!$C$23-B141,0,-E142)</f>
        <v>2524.1384479021758</v>
      </c>
      <c r="G142" s="95">
        <v>6</v>
      </c>
      <c r="I142" s="54"/>
    </row>
    <row r="143" spans="2:9" s="38" customFormat="1" ht="14.5" outlineLevel="1">
      <c r="B143" s="54">
        <f t="shared" si="16"/>
        <v>132</v>
      </c>
      <c r="C143" s="55">
        <f>$C$11*(1+Premissas!$C$17)^(B143/12)-1</f>
        <v>263297.88625274878</v>
      </c>
      <c r="D143" s="88">
        <f t="shared" ref="D143:D154" si="17">D142</f>
        <v>3424.393026142749</v>
      </c>
      <c r="E143" s="56">
        <f>IF(-Financiamento!I152-Investimentos!D143&gt;0,-Financiamento!I152-Investimentos!D143,0)</f>
        <v>460.85518691473271</v>
      </c>
      <c r="F143" s="93">
        <f>FV((1+Premissas!$C$17)^(1/12)-1,Premissas!$C$23-B142,0,-E143)</f>
        <v>2471.6093456366748</v>
      </c>
      <c r="G143" s="95">
        <v>6</v>
      </c>
      <c r="I143" s="54"/>
    </row>
    <row r="144" spans="2:9" s="38" customFormat="1" ht="14.5" outlineLevel="1">
      <c r="B144" s="54">
        <f t="shared" si="16"/>
        <v>133</v>
      </c>
      <c r="C144" s="55">
        <f>$C$11*(1+Premissas!$C$17)^(B144/12)-1</f>
        <v>265236.08232675644</v>
      </c>
      <c r="D144" s="89">
        <f>D143*((1+Premissas!$C$15)*(1+Premissas!$C$12))</f>
        <v>3613.5907408371359</v>
      </c>
      <c r="E144" s="56">
        <f>IF(-Financiamento!I153-Investimentos!D144&gt;0,-Financiamento!I153-Investimentos!D144,0)</f>
        <v>265.28015077755254</v>
      </c>
      <c r="F144" s="93">
        <f>FV((1+Premissas!$C$17)^(1/12)-1,Premissas!$C$23-B143,0,-E144)</f>
        <v>1412.3257738269815</v>
      </c>
      <c r="G144" s="95">
        <v>6</v>
      </c>
      <c r="I144" s="54"/>
    </row>
    <row r="145" spans="2:9" s="38" customFormat="1" ht="14.5" outlineLevel="1">
      <c r="B145" s="54">
        <f t="shared" si="16"/>
        <v>134</v>
      </c>
      <c r="C145" s="55">
        <f>$C$11*(1+Premissas!$C$17)^(B145/12)-1</f>
        <v>267188.54585200473</v>
      </c>
      <c r="D145" s="56">
        <f t="shared" si="17"/>
        <v>3613.5907408371359</v>
      </c>
      <c r="E145" s="56">
        <f>IF(-Financiamento!I154-Investimentos!D145&gt;0,-Financiamento!I154-Investimentos!D145,0)</f>
        <v>258.88078544534983</v>
      </c>
      <c r="F145" s="93">
        <f>FV((1+Premissas!$C$17)^(1/12)-1,Premissas!$C$23-B144,0,-E145)</f>
        <v>1368.1846911679459</v>
      </c>
      <c r="G145" s="95">
        <v>6</v>
      </c>
      <c r="I145" s="54"/>
    </row>
    <row r="146" spans="2:9" s="38" customFormat="1" ht="14.5" outlineLevel="1">
      <c r="B146" s="54">
        <f t="shared" si="16"/>
        <v>135</v>
      </c>
      <c r="C146" s="55">
        <f>$C$11*(1+Premissas!$C$17)^(B146/12)-1</f>
        <v>269155.38185407256</v>
      </c>
      <c r="D146" s="56">
        <f t="shared" si="17"/>
        <v>3613.5907408371359</v>
      </c>
      <c r="E146" s="56">
        <f>IF(-Financiamento!I155-Investimentos!D146&gt;0,-Financiamento!I155-Investimentos!D146,0)</f>
        <v>252.45933105049335</v>
      </c>
      <c r="F146" s="93">
        <f>FV((1+Premissas!$C$17)^(1/12)-1,Premissas!$C$23-B145,0,-E146)</f>
        <v>1324.4974191640615</v>
      </c>
      <c r="G146" s="95">
        <v>6</v>
      </c>
      <c r="I146" s="54"/>
    </row>
    <row r="147" spans="2:9" s="38" customFormat="1" ht="14.5" outlineLevel="1">
      <c r="B147" s="54">
        <f t="shared" si="16"/>
        <v>136</v>
      </c>
      <c r="C147" s="55">
        <f>$C$11*(1+Premissas!$C$17)^(B147/12)-1</f>
        <v>271136.69613165333</v>
      </c>
      <c r="D147" s="56">
        <f t="shared" si="17"/>
        <v>3613.5907408371359</v>
      </c>
      <c r="E147" s="56">
        <f>IF(-Financiamento!I156-Investimentos!D147&gt;0,-Financiamento!I156-Investimentos!D147,0)</f>
        <v>246.01574234256805</v>
      </c>
      <c r="F147" s="93">
        <f>FV((1+Premissas!$C$17)^(1/12)-1,Premissas!$C$23-B146,0,-E147)</f>
        <v>1281.2602936826379</v>
      </c>
      <c r="G147" s="95">
        <v>6</v>
      </c>
      <c r="I147" s="54"/>
    </row>
    <row r="148" spans="2:9" s="38" customFormat="1" ht="14.5" outlineLevel="1">
      <c r="B148" s="54">
        <f t="shared" si="16"/>
        <v>137</v>
      </c>
      <c r="C148" s="55">
        <f>$C$11*(1+Premissas!$C$17)^(B148/12)-1</f>
        <v>273132.59526224603</v>
      </c>
      <c r="D148" s="56">
        <f t="shared" si="17"/>
        <v>3613.5907408371359</v>
      </c>
      <c r="E148" s="56">
        <f>IF(-Financiamento!I157-Investimentos!D148&gt;0,-Financiamento!I157-Investimentos!D148,0)</f>
        <v>239.54997399391095</v>
      </c>
      <c r="F148" s="93">
        <f>FV((1+Premissas!$C$17)^(1/12)-1,Premissas!$C$23-B147,0,-E148)</f>
        <v>1238.4696767655869</v>
      </c>
      <c r="G148" s="95">
        <v>6</v>
      </c>
      <c r="I148" s="54"/>
    </row>
    <row r="149" spans="2:9" s="38" customFormat="1" ht="14.5" outlineLevel="1">
      <c r="B149" s="54">
        <f t="shared" si="16"/>
        <v>138</v>
      </c>
      <c r="C149" s="55">
        <f>$C$11*(1+Premissas!$C$17)^(B149/12)-1</f>
        <v>275143.18660788779</v>
      </c>
      <c r="D149" s="56">
        <f t="shared" si="17"/>
        <v>3613.5907408371359</v>
      </c>
      <c r="E149" s="56">
        <f>IF(-Financiamento!I158-Investimentos!D149&gt;0,-Financiamento!I158-Investimentos!D149,0)</f>
        <v>233.0619805995284</v>
      </c>
      <c r="F149" s="93">
        <f>FV((1+Premissas!$C$17)^(1/12)-1,Premissas!$C$23-B148,0,-E149)</f>
        <v>1196.1219564583389</v>
      </c>
      <c r="G149" s="95">
        <v>6</v>
      </c>
      <c r="I149" s="54"/>
    </row>
    <row r="150" spans="2:9" s="38" customFormat="1" ht="14.5" outlineLevel="1">
      <c r="B150" s="54">
        <f t="shared" si="16"/>
        <v>139</v>
      </c>
      <c r="C150" s="55">
        <f>$C$11*(1+Premissas!$C$17)^(B150/12)-1</f>
        <v>277168.57832092966</v>
      </c>
      <c r="D150" s="56">
        <f t="shared" si="17"/>
        <v>3613.5907408371359</v>
      </c>
      <c r="E150" s="56">
        <f>IF(-Financiamento!I159-Investimentos!D150&gt;0,-Financiamento!I159-Investimentos!D150,0)</f>
        <v>226.55171667701461</v>
      </c>
      <c r="F150" s="93">
        <f>FV((1+Premissas!$C$17)^(1/12)-1,Premissas!$C$23-B149,0,-E150)</f>
        <v>1154.2135466397954</v>
      </c>
      <c r="G150" s="95">
        <v>6</v>
      </c>
      <c r="I150" s="54"/>
    </row>
    <row r="151" spans="2:9" s="38" customFormat="1" ht="14.5" outlineLevel="1">
      <c r="B151" s="54">
        <f t="shared" si="16"/>
        <v>140</v>
      </c>
      <c r="C151" s="55">
        <f>$C$11*(1+Premissas!$C$17)^(B151/12)-1</f>
        <v>279208.87934985355</v>
      </c>
      <c r="D151" s="56">
        <f t="shared" si="17"/>
        <v>3613.5907408371359</v>
      </c>
      <c r="E151" s="56">
        <f>IF(-Financiamento!I160-Investimentos!D151&gt;0,-Financiamento!I160-Investimentos!D151,0)</f>
        <v>220.01913666647351</v>
      </c>
      <c r="F151" s="93">
        <f>FV((1+Premissas!$C$17)^(1/12)-1,Premissas!$C$23-B150,0,-E151)</f>
        <v>1112.740886853313</v>
      </c>
      <c r="G151" s="95">
        <v>6</v>
      </c>
      <c r="I151" s="54"/>
    </row>
    <row r="152" spans="2:9" s="38" customFormat="1" ht="14.5" outlineLevel="1">
      <c r="B152" s="54">
        <f t="shared" si="16"/>
        <v>141</v>
      </c>
      <c r="C152" s="55">
        <f>$C$11*(1+Premissas!$C$17)^(B152/12)-1</f>
        <v>281264.19944513339</v>
      </c>
      <c r="D152" s="56">
        <f t="shared" si="17"/>
        <v>3613.5907408371359</v>
      </c>
      <c r="E152" s="56">
        <f>IF(-Financiamento!I161-Investimentos!D152&gt;0,-Financiamento!I161-Investimentos!D152,0)</f>
        <v>213.46419493044232</v>
      </c>
      <c r="F152" s="93">
        <f>FV((1+Premissas!$C$17)^(1/12)-1,Premissas!$C$23-B151,0,-E152)</f>
        <v>1071.7004421387098</v>
      </c>
      <c r="G152" s="95">
        <v>6</v>
      </c>
      <c r="I152" s="54"/>
    </row>
    <row r="153" spans="2:9" s="38" customFormat="1" ht="14.5" outlineLevel="1">
      <c r="B153" s="54">
        <f t="shared" si="16"/>
        <v>142</v>
      </c>
      <c r="C153" s="55">
        <f>$C$11*(1+Premissas!$C$17)^(B153/12)-1</f>
        <v>283334.64916513814</v>
      </c>
      <c r="D153" s="56">
        <f t="shared" si="17"/>
        <v>3613.5907408371359</v>
      </c>
      <c r="E153" s="56">
        <f>IF(-Financiamento!I162-Investimentos!D153&gt;0,-Financiamento!I162-Investimentos!D153,0)</f>
        <v>206.88684575381012</v>
      </c>
      <c r="F153" s="93">
        <f>FV((1+Premissas!$C$17)^(1/12)-1,Premissas!$C$23-B152,0,-E153)</f>
        <v>1031.0887028652553</v>
      </c>
      <c r="G153" s="95">
        <v>6</v>
      </c>
      <c r="I153" s="54"/>
    </row>
    <row r="154" spans="2:9" s="38" customFormat="1" ht="14.5" outlineLevel="1">
      <c r="B154" s="54">
        <f t="shared" si="16"/>
        <v>143</v>
      </c>
      <c r="C154" s="55">
        <f>$C$11*(1+Premissas!$C$17)^(B154/12)-1</f>
        <v>285420.33988207928</v>
      </c>
      <c r="D154" s="56">
        <f t="shared" si="17"/>
        <v>3613.5907408371359</v>
      </c>
      <c r="E154" s="56">
        <f>IF(-Financiamento!I163-Investimentos!D154&gt;0,-Financiamento!I163-Investimentos!D154,0)</f>
        <v>200.2870433437497</v>
      </c>
      <c r="F154" s="93">
        <f>FV((1+Premissas!$C$17)^(1/12)-1,Premissas!$C$23-B153,0,-E154)</f>
        <v>990.90218456572563</v>
      </c>
      <c r="G154" s="95">
        <v>6</v>
      </c>
      <c r="I154" s="54"/>
    </row>
    <row r="155" spans="2:9" s="38" customFormat="1" ht="14.5" outlineLevel="1">
      <c r="B155" s="54">
        <f t="shared" si="16"/>
        <v>144</v>
      </c>
      <c r="C155" s="55">
        <f>$C$11*(1+Premissas!$C$17)^(B155/12)-1</f>
        <v>287521.38378800167</v>
      </c>
      <c r="D155" s="88">
        <f t="shared" ref="D155:D166" si="18">D154</f>
        <v>3613.5907408371359</v>
      </c>
      <c r="E155" s="56">
        <f>IF(-Financiamento!I164-Investimentos!D155&gt;0,-Financiamento!I164-Investimentos!D155,0)</f>
        <v>193.6647418296352</v>
      </c>
      <c r="F155" s="93">
        <f>FV((1+Premissas!$C$17)^(1/12)-1,Premissas!$C$23-B154,0,-E155)</f>
        <v>951.13742777138543</v>
      </c>
      <c r="G155" s="95">
        <v>6</v>
      </c>
      <c r="I155" s="54"/>
    </row>
    <row r="156" spans="2:9" s="38" customFormat="1" ht="14.5" outlineLevel="1">
      <c r="B156" s="54">
        <f t="shared" si="16"/>
        <v>145</v>
      </c>
      <c r="C156" s="55">
        <f>$C$11*(1+Premissas!$C$17)^(B156/12)-1</f>
        <v>289637.89390081808</v>
      </c>
      <c r="D156" s="89">
        <f>D155*((1+Premissas!$C$15)*(1+Premissas!$C$12))</f>
        <v>3813.2416292683879</v>
      </c>
      <c r="E156" s="56">
        <f>IF(-Financiamento!I165-Investimentos!D156&gt;0,-Financiamento!I165-Investimentos!D156,0)</f>
        <v>0</v>
      </c>
      <c r="F156" s="93">
        <f>FV((1+Premissas!$C$17)^(1/12)-1,Premissas!$C$23-B155,0,-E156)</f>
        <v>0</v>
      </c>
      <c r="G156" s="95">
        <v>6</v>
      </c>
      <c r="I156" s="54"/>
    </row>
    <row r="157" spans="2:9" s="38" customFormat="1" ht="14.5" outlineLevel="1">
      <c r="B157" s="54">
        <f t="shared" si="16"/>
        <v>146</v>
      </c>
      <c r="C157" s="55">
        <f>$C$11*(1+Premissas!$C$17)^(B157/12)-1</f>
        <v>291769.98407038924</v>
      </c>
      <c r="D157" s="56">
        <f t="shared" si="18"/>
        <v>3813.2416292683879</v>
      </c>
      <c r="E157" s="56">
        <f>IF(-Financiamento!I166-Investimentos!D157&gt;0,-Financiamento!I166-Investimentos!D157,0)</f>
        <v>0</v>
      </c>
      <c r="F157" s="93">
        <f>FV((1+Premissas!$C$17)^(1/12)-1,Premissas!$C$23-B156,0,-E157)</f>
        <v>0</v>
      </c>
      <c r="G157" s="95">
        <v>6</v>
      </c>
      <c r="I157" s="54"/>
    </row>
    <row r="158" spans="2:9" s="38" customFormat="1" ht="14.5" outlineLevel="1">
      <c r="B158" s="54">
        <f t="shared" si="16"/>
        <v>147</v>
      </c>
      <c r="C158" s="55">
        <f>$C$11*(1+Premissas!$C$17)^(B158/12)-1</f>
        <v>293917.76898464723</v>
      </c>
      <c r="D158" s="56">
        <f t="shared" si="18"/>
        <v>3813.2416292683879</v>
      </c>
      <c r="E158" s="56">
        <f>IF(-Financiamento!I167-Investimentos!D158&gt;0,-Financiamento!I167-Investimentos!D158,0)</f>
        <v>0</v>
      </c>
      <c r="F158" s="93">
        <f>FV((1+Premissas!$C$17)^(1/12)-1,Premissas!$C$23-B157,0,-E158)</f>
        <v>0</v>
      </c>
      <c r="G158" s="95">
        <v>6</v>
      </c>
      <c r="I158" s="54"/>
    </row>
    <row r="159" spans="2:9" s="38" customFormat="1" ht="14.5" outlineLevel="1">
      <c r="B159" s="54">
        <f t="shared" si="16"/>
        <v>148</v>
      </c>
      <c r="C159" s="55">
        <f>$C$11*(1+Premissas!$C$17)^(B159/12)-1</f>
        <v>296081.36417576554</v>
      </c>
      <c r="D159" s="56">
        <f t="shared" si="18"/>
        <v>3813.2416292683879</v>
      </c>
      <c r="E159" s="56">
        <f>IF(-Financiamento!I168-Investimentos!D159&gt;0,-Financiamento!I168-Investimentos!D159,0)</f>
        <v>0</v>
      </c>
      <c r="F159" s="93">
        <f>FV((1+Premissas!$C$17)^(1/12)-1,Premissas!$C$23-B158,0,-E159)</f>
        <v>0</v>
      </c>
      <c r="G159" s="95">
        <v>6</v>
      </c>
      <c r="I159" s="54"/>
    </row>
    <row r="160" spans="2:9" s="38" customFormat="1" ht="14.5" outlineLevel="1">
      <c r="B160" s="54">
        <f t="shared" si="16"/>
        <v>149</v>
      </c>
      <c r="C160" s="55">
        <f>$C$11*(1+Premissas!$C$17)^(B160/12)-1</f>
        <v>298260.88602637267</v>
      </c>
      <c r="D160" s="56">
        <f t="shared" si="18"/>
        <v>3813.2416292683879</v>
      </c>
      <c r="E160" s="56">
        <f>IF(-Financiamento!I169-Investimentos!D160&gt;0,-Financiamento!I169-Investimentos!D160,0)</f>
        <v>0</v>
      </c>
      <c r="F160" s="93">
        <f>FV((1+Premissas!$C$17)^(1/12)-1,Premissas!$C$23-B159,0,-E160)</f>
        <v>0</v>
      </c>
      <c r="G160" s="95">
        <v>6</v>
      </c>
      <c r="I160" s="54"/>
    </row>
    <row r="161" spans="2:9" s="38" customFormat="1" ht="14.5" outlineLevel="1">
      <c r="B161" s="54">
        <f t="shared" si="16"/>
        <v>150</v>
      </c>
      <c r="C161" s="55">
        <f>$C$11*(1+Premissas!$C$17)^(B161/12)-1</f>
        <v>300456.45177581353</v>
      </c>
      <c r="D161" s="56">
        <f t="shared" si="18"/>
        <v>3813.2416292683879</v>
      </c>
      <c r="E161" s="56">
        <f>IF(-Financiamento!I170-Investimentos!D161&gt;0,-Financiamento!I170-Investimentos!D161,0)</f>
        <v>0</v>
      </c>
      <c r="F161" s="93">
        <f>FV((1+Premissas!$C$17)^(1/12)-1,Premissas!$C$23-B160,0,-E161)</f>
        <v>0</v>
      </c>
      <c r="G161" s="95">
        <v>6</v>
      </c>
      <c r="I161" s="54"/>
    </row>
    <row r="162" spans="2:9" s="38" customFormat="1" ht="14.5" outlineLevel="1">
      <c r="B162" s="54">
        <f t="shared" si="16"/>
        <v>151</v>
      </c>
      <c r="C162" s="55">
        <f>$C$11*(1+Premissas!$C$17)^(B162/12)-1</f>
        <v>302668.17952645518</v>
      </c>
      <c r="D162" s="56">
        <f t="shared" si="18"/>
        <v>3813.2416292683879</v>
      </c>
      <c r="E162" s="56">
        <f>IF(-Financiamento!I171-Investimentos!D162&gt;0,-Financiamento!I171-Investimentos!D162,0)</f>
        <v>0</v>
      </c>
      <c r="F162" s="93">
        <f>FV((1+Premissas!$C$17)^(1/12)-1,Premissas!$C$23-B161,0,-E162)</f>
        <v>0</v>
      </c>
      <c r="G162" s="95">
        <v>6</v>
      </c>
      <c r="I162" s="54"/>
    </row>
    <row r="163" spans="2:9" s="38" customFormat="1" ht="14.5" outlineLevel="1">
      <c r="B163" s="54">
        <f t="shared" si="16"/>
        <v>152</v>
      </c>
      <c r="C163" s="55">
        <f>$C$11*(1+Premissas!$C$17)^(B163/12)-1</f>
        <v>304896.18825004017</v>
      </c>
      <c r="D163" s="56">
        <f t="shared" si="18"/>
        <v>3813.2416292683879</v>
      </c>
      <c r="E163" s="56">
        <f>IF(-Financiamento!I172-Investimentos!D163&gt;0,-Financiamento!I172-Investimentos!D163,0)</f>
        <v>0</v>
      </c>
      <c r="F163" s="93">
        <f>FV((1+Premissas!$C$17)^(1/12)-1,Premissas!$C$23-B162,0,-E163)</f>
        <v>0</v>
      </c>
      <c r="G163" s="95">
        <v>6</v>
      </c>
      <c r="I163" s="54"/>
    </row>
    <row r="164" spans="2:9" s="38" customFormat="1" ht="14.5" outlineLevel="1">
      <c r="B164" s="54">
        <f t="shared" si="16"/>
        <v>153</v>
      </c>
      <c r="C164" s="55">
        <f>$C$11*(1+Premissas!$C$17)^(B164/12)-1</f>
        <v>307140.59779408568</v>
      </c>
      <c r="D164" s="56">
        <f t="shared" si="18"/>
        <v>3813.2416292683879</v>
      </c>
      <c r="E164" s="56">
        <f>IF(-Financiamento!I173-Investimentos!D164&gt;0,-Financiamento!I173-Investimentos!D164,0)</f>
        <v>0</v>
      </c>
      <c r="F164" s="93">
        <f>FV((1+Premissas!$C$17)^(1/12)-1,Premissas!$C$23-B163,0,-E164)</f>
        <v>0</v>
      </c>
      <c r="G164" s="95">
        <v>6</v>
      </c>
      <c r="I164" s="54"/>
    </row>
    <row r="165" spans="2:9" s="38" customFormat="1" ht="14.5" outlineLevel="1">
      <c r="B165" s="54">
        <f t="shared" si="16"/>
        <v>154</v>
      </c>
      <c r="C165" s="55">
        <f>$C$11*(1+Premissas!$C$17)^(B165/12)-1</f>
        <v>309401.52888833085</v>
      </c>
      <c r="D165" s="56">
        <f t="shared" si="18"/>
        <v>3813.2416292683879</v>
      </c>
      <c r="E165" s="56">
        <f>IF(-Financiamento!I174-Investimentos!D165&gt;0,-Financiamento!I174-Investimentos!D165,0)</f>
        <v>0</v>
      </c>
      <c r="F165" s="93">
        <f>FV((1+Premissas!$C$17)^(1/12)-1,Premissas!$C$23-B164,0,-E165)</f>
        <v>0</v>
      </c>
      <c r="G165" s="95">
        <v>6</v>
      </c>
      <c r="I165" s="54"/>
    </row>
    <row r="166" spans="2:9" s="38" customFormat="1" ht="14.5" outlineLevel="1">
      <c r="B166" s="54">
        <f t="shared" si="16"/>
        <v>155</v>
      </c>
      <c r="C166" s="55">
        <f>$C$11*(1+Premissas!$C$17)^(B166/12)-1</f>
        <v>311679.10315123055</v>
      </c>
      <c r="D166" s="56">
        <f t="shared" si="18"/>
        <v>3813.2416292683879</v>
      </c>
      <c r="E166" s="56">
        <f>IF(-Financiamento!I175-Investimentos!D166&gt;0,-Financiamento!I175-Investimentos!D166,0)</f>
        <v>0</v>
      </c>
      <c r="F166" s="93">
        <f>FV((1+Premissas!$C$17)^(1/12)-1,Premissas!$C$23-B165,0,-E166)</f>
        <v>0</v>
      </c>
      <c r="G166" s="95">
        <v>6</v>
      </c>
      <c r="I166" s="54"/>
    </row>
    <row r="167" spans="2:9" s="38" customFormat="1" ht="14.5" outlineLevel="1">
      <c r="B167" s="54">
        <f t="shared" si="16"/>
        <v>156</v>
      </c>
      <c r="C167" s="55">
        <f>$C$11*(1+Premissas!$C$17)^(B167/12)-1</f>
        <v>313973.44309649785</v>
      </c>
      <c r="D167" s="88">
        <f t="shared" ref="D167:D178" si="19">D166</f>
        <v>3813.2416292683879</v>
      </c>
      <c r="E167" s="56">
        <f>IF(-Financiamento!I176-Investimentos!D167&gt;0,-Financiamento!I176-Investimentos!D167,0)</f>
        <v>0</v>
      </c>
      <c r="F167" s="93">
        <f>FV((1+Premissas!$C$17)^(1/12)-1,Premissas!$C$23-B166,0,-E167)</f>
        <v>0</v>
      </c>
      <c r="G167" s="95">
        <v>6</v>
      </c>
      <c r="I167" s="54"/>
    </row>
    <row r="168" spans="2:9" s="38" customFormat="1" ht="14.5" outlineLevel="1">
      <c r="B168" s="54">
        <f t="shared" si="16"/>
        <v>157</v>
      </c>
      <c r="C168" s="55">
        <f>$C$11*(1+Premissas!$C$17)^(B168/12)-1</f>
        <v>316284.67213969334</v>
      </c>
      <c r="D168" s="89">
        <f>D167*((1+Premissas!$C$15)*(1+Premissas!$C$12))</f>
        <v>4023.9232292854663</v>
      </c>
      <c r="E168" s="56">
        <f>IF(-Financiamento!I177-Investimentos!D168&gt;0,-Financiamento!I177-Investimentos!D168,0)</f>
        <v>0</v>
      </c>
      <c r="F168" s="93">
        <f>FV((1+Premissas!$C$17)^(1/12)-1,Premissas!$C$23-B167,0,-E168)</f>
        <v>0</v>
      </c>
      <c r="G168" s="95">
        <v>6</v>
      </c>
      <c r="I168" s="54"/>
    </row>
    <row r="169" spans="2:9" s="38" customFormat="1" ht="14.5" outlineLevel="1">
      <c r="B169" s="54">
        <f t="shared" si="16"/>
        <v>158</v>
      </c>
      <c r="C169" s="55">
        <f>$C$11*(1+Premissas!$C$17)^(B169/12)-1</f>
        <v>318612.91460486501</v>
      </c>
      <c r="D169" s="56">
        <f t="shared" si="19"/>
        <v>4023.9232292854663</v>
      </c>
      <c r="E169" s="56">
        <f>IF(-Financiamento!I178-Investimentos!D169&gt;0,-Financiamento!I178-Investimentos!D169,0)</f>
        <v>0</v>
      </c>
      <c r="F169" s="93">
        <f>FV((1+Premissas!$C$17)^(1/12)-1,Premissas!$C$23-B168,0,-E169)</f>
        <v>0</v>
      </c>
      <c r="G169" s="95">
        <v>6</v>
      </c>
      <c r="I169" s="54"/>
    </row>
    <row r="170" spans="2:9" s="38" customFormat="1" ht="14.5" outlineLevel="1">
      <c r="B170" s="54">
        <f t="shared" si="16"/>
        <v>159</v>
      </c>
      <c r="C170" s="55">
        <f>$C$11*(1+Premissas!$C$17)^(B170/12)-1</f>
        <v>320958.29573123477</v>
      </c>
      <c r="D170" s="56">
        <f t="shared" si="19"/>
        <v>4023.9232292854663</v>
      </c>
      <c r="E170" s="56">
        <f>IF(-Financiamento!I179-Investimentos!D170&gt;0,-Financiamento!I179-Investimentos!D170,0)</f>
        <v>0</v>
      </c>
      <c r="F170" s="93">
        <f>FV((1+Premissas!$C$17)^(1/12)-1,Premissas!$C$23-B169,0,-E170)</f>
        <v>0</v>
      </c>
      <c r="G170" s="95">
        <v>6</v>
      </c>
      <c r="I170" s="54"/>
    </row>
    <row r="171" spans="2:9" s="38" customFormat="1" ht="14.5" outlineLevel="1">
      <c r="B171" s="54">
        <f t="shared" si="16"/>
        <v>160</v>
      </c>
      <c r="C171" s="55">
        <f>$C$11*(1+Premissas!$C$17)^(B171/12)-1</f>
        <v>323320.94167993596</v>
      </c>
      <c r="D171" s="56">
        <f t="shared" si="19"/>
        <v>4023.9232292854663</v>
      </c>
      <c r="E171" s="56">
        <f>IF(-Financiamento!I180-Investimentos!D171&gt;0,-Financiamento!I180-Investimentos!D171,0)</f>
        <v>0</v>
      </c>
      <c r="F171" s="93">
        <f>FV((1+Premissas!$C$17)^(1/12)-1,Premissas!$C$23-B170,0,-E171)</f>
        <v>0</v>
      </c>
      <c r="G171" s="95">
        <v>6</v>
      </c>
      <c r="I171" s="54"/>
    </row>
    <row r="172" spans="2:9" s="38" customFormat="1" ht="14.5" outlineLevel="1">
      <c r="B172" s="54">
        <f t="shared" si="16"/>
        <v>161</v>
      </c>
      <c r="C172" s="55">
        <f>$C$11*(1+Premissas!$C$17)^(B172/12)-1</f>
        <v>325700.97954079899</v>
      </c>
      <c r="D172" s="56">
        <f t="shared" si="19"/>
        <v>4023.9232292854663</v>
      </c>
      <c r="E172" s="56">
        <f>IF(-Financiamento!I181-Investimentos!D172&gt;0,-Financiamento!I181-Investimentos!D172,0)</f>
        <v>0</v>
      </c>
      <c r="F172" s="93">
        <f>FV((1+Premissas!$C$17)^(1/12)-1,Premissas!$C$23-B171,0,-E172)</f>
        <v>0</v>
      </c>
      <c r="G172" s="95">
        <v>6</v>
      </c>
      <c r="I172" s="54"/>
    </row>
    <row r="173" spans="2:9" s="38" customFormat="1" ht="14.5" outlineLevel="1">
      <c r="B173" s="54">
        <f t="shared" si="16"/>
        <v>162</v>
      </c>
      <c r="C173" s="55">
        <f>$C$11*(1+Premissas!$C$17)^(B173/12)-1</f>
        <v>328098.53733918839</v>
      </c>
      <c r="D173" s="56">
        <f t="shared" si="19"/>
        <v>4023.9232292854663</v>
      </c>
      <c r="E173" s="56">
        <f>IF(-Financiamento!I182-Investimentos!D173&gt;0,-Financiamento!I182-Investimentos!D173,0)</f>
        <v>0</v>
      </c>
      <c r="F173" s="93">
        <f>FV((1+Premissas!$C$17)^(1/12)-1,Premissas!$C$23-B172,0,-E173)</f>
        <v>0</v>
      </c>
      <c r="G173" s="95">
        <v>6</v>
      </c>
      <c r="I173" s="54"/>
    </row>
    <row r="174" spans="2:9" s="38" customFormat="1" ht="14.5" outlineLevel="1">
      <c r="B174" s="54">
        <f t="shared" si="16"/>
        <v>163</v>
      </c>
      <c r="C174" s="55">
        <f>$C$11*(1+Premissas!$C$17)^(B174/12)-1</f>
        <v>330513.7440428891</v>
      </c>
      <c r="D174" s="56">
        <f t="shared" si="19"/>
        <v>4023.9232292854663</v>
      </c>
      <c r="E174" s="56">
        <f>IF(-Financiamento!I183-Investimentos!D174&gt;0,-Financiamento!I183-Investimentos!D174,0)</f>
        <v>0</v>
      </c>
      <c r="F174" s="93">
        <f>FV((1+Premissas!$C$17)^(1/12)-1,Premissas!$C$23-B173,0,-E174)</f>
        <v>0</v>
      </c>
      <c r="G174" s="95">
        <v>6</v>
      </c>
      <c r="I174" s="54"/>
    </row>
    <row r="175" spans="2:9" s="38" customFormat="1" ht="14.5" outlineLevel="1">
      <c r="B175" s="54">
        <f t="shared" si="16"/>
        <v>164</v>
      </c>
      <c r="C175" s="55">
        <f>$C$11*(1+Premissas!$C$17)^(B175/12)-1</f>
        <v>332946.72956904379</v>
      </c>
      <c r="D175" s="56">
        <f t="shared" si="19"/>
        <v>4023.9232292854663</v>
      </c>
      <c r="E175" s="56">
        <f>IF(-Financiamento!I184-Investimentos!D175&gt;0,-Financiamento!I184-Investimentos!D175,0)</f>
        <v>0</v>
      </c>
      <c r="F175" s="93">
        <f>FV((1+Premissas!$C$17)^(1/12)-1,Premissas!$C$23-B174,0,-E175)</f>
        <v>0</v>
      </c>
      <c r="G175" s="95">
        <v>6</v>
      </c>
      <c r="I175" s="54"/>
    </row>
    <row r="176" spans="2:9" s="38" customFormat="1" ht="14.5" outlineLevel="1">
      <c r="B176" s="54">
        <f t="shared" si="16"/>
        <v>165</v>
      </c>
      <c r="C176" s="55">
        <f>$C$11*(1+Premissas!$C$17)^(B176/12)-1</f>
        <v>335397.6247911416</v>
      </c>
      <c r="D176" s="56">
        <f t="shared" si="19"/>
        <v>4023.9232292854663</v>
      </c>
      <c r="E176" s="56">
        <f>IF(-Financiamento!I185-Investimentos!D176&gt;0,-Financiamento!I185-Investimentos!D176,0)</f>
        <v>0</v>
      </c>
      <c r="F176" s="93">
        <f>FV((1+Premissas!$C$17)^(1/12)-1,Premissas!$C$23-B175,0,-E176)</f>
        <v>0</v>
      </c>
      <c r="G176" s="95">
        <v>6</v>
      </c>
      <c r="I176" s="54"/>
    </row>
    <row r="177" spans="2:9" s="38" customFormat="1" ht="14.5" outlineLevel="1">
      <c r="B177" s="54">
        <f t="shared" si="16"/>
        <v>166</v>
      </c>
      <c r="C177" s="55">
        <f>$C$11*(1+Premissas!$C$17)^(B177/12)-1</f>
        <v>337866.56154605729</v>
      </c>
      <c r="D177" s="56">
        <f t="shared" si="19"/>
        <v>4023.9232292854663</v>
      </c>
      <c r="E177" s="56">
        <f>IF(-Financiamento!I186-Investimentos!D177&gt;0,-Financiamento!I186-Investimentos!D177,0)</f>
        <v>0</v>
      </c>
      <c r="F177" s="93">
        <f>FV((1+Premissas!$C$17)^(1/12)-1,Premissas!$C$23-B176,0,-E177)</f>
        <v>0</v>
      </c>
      <c r="G177" s="95">
        <v>6</v>
      </c>
      <c r="I177" s="54"/>
    </row>
    <row r="178" spans="2:9" s="38" customFormat="1" ht="14.5" outlineLevel="1">
      <c r="B178" s="54">
        <f t="shared" si="16"/>
        <v>167</v>
      </c>
      <c r="C178" s="55">
        <f>$C$11*(1+Premissas!$C$17)^(B178/12)-1</f>
        <v>340353.67264114384</v>
      </c>
      <c r="D178" s="56">
        <f t="shared" si="19"/>
        <v>4023.9232292854663</v>
      </c>
      <c r="E178" s="56">
        <f>IF(-Financiamento!I187-Investimentos!D178&gt;0,-Financiamento!I187-Investimentos!D178,0)</f>
        <v>0</v>
      </c>
      <c r="F178" s="93">
        <f>FV((1+Premissas!$C$17)^(1/12)-1,Premissas!$C$23-B177,0,-E178)</f>
        <v>0</v>
      </c>
      <c r="G178" s="95">
        <v>6</v>
      </c>
      <c r="I178" s="54"/>
    </row>
    <row r="179" spans="2:9" s="38" customFormat="1" ht="14.5" outlineLevel="1">
      <c r="B179" s="54">
        <f t="shared" si="16"/>
        <v>168</v>
      </c>
      <c r="C179" s="55">
        <f>$C$11*(1+Premissas!$C$17)^(B179/12)-1</f>
        <v>342859.09186137567</v>
      </c>
      <c r="D179" s="88">
        <f t="shared" ref="D179:D190" si="20">D178</f>
        <v>4023.9232292854663</v>
      </c>
      <c r="E179" s="56">
        <f>IF(-Financiamento!I188-Investimentos!D179&gt;0,-Financiamento!I188-Investimentos!D179,0)</f>
        <v>0</v>
      </c>
      <c r="F179" s="93">
        <f>FV((1+Premissas!$C$17)^(1/12)-1,Premissas!$C$23-B178,0,-E179)</f>
        <v>0</v>
      </c>
      <c r="G179" s="95">
        <v>6</v>
      </c>
      <c r="I179" s="54"/>
    </row>
    <row r="180" spans="2:9" s="38" customFormat="1" ht="14.5" outlineLevel="1">
      <c r="B180" s="54">
        <f t="shared" si="16"/>
        <v>169</v>
      </c>
      <c r="C180" s="55">
        <f>$C$11*(1+Premissas!$C$17)^(B180/12)-1</f>
        <v>345382.95397654525</v>
      </c>
      <c r="D180" s="89">
        <f>D179*((1+Premissas!$C$15)*(1+Premissas!$C$12))</f>
        <v>4246.2449877034887</v>
      </c>
      <c r="E180" s="56">
        <f>IF(-Financiamento!I189-Investimentos!D180&gt;0,-Financiamento!I189-Investimentos!D180,0)</f>
        <v>0</v>
      </c>
      <c r="F180" s="93">
        <f>FV((1+Premissas!$C$17)^(1/12)-1,Premissas!$C$23-B179,0,-E180)</f>
        <v>0</v>
      </c>
      <c r="G180" s="95">
        <v>6</v>
      </c>
      <c r="I180" s="54"/>
    </row>
    <row r="181" spans="2:9" s="38" customFormat="1" ht="14.5" outlineLevel="1">
      <c r="B181" s="54">
        <f t="shared" si="16"/>
        <v>170</v>
      </c>
      <c r="C181" s="55">
        <f>$C$11*(1+Premissas!$C$17)^(B181/12)-1</f>
        <v>347925.3947485126</v>
      </c>
      <c r="D181" s="56">
        <f t="shared" si="20"/>
        <v>4246.2449877034887</v>
      </c>
      <c r="E181" s="56">
        <f>IF(-Financiamento!I190-Investimentos!D181&gt;0,-Financiamento!I190-Investimentos!D181,0)</f>
        <v>0</v>
      </c>
      <c r="F181" s="93">
        <f>FV((1+Premissas!$C$17)^(1/12)-1,Premissas!$C$23-B180,0,-E181)</f>
        <v>0</v>
      </c>
      <c r="G181" s="95">
        <v>6</v>
      </c>
      <c r="I181" s="54"/>
    </row>
    <row r="182" spans="2:9" s="38" customFormat="1" ht="14.5" outlineLevel="1">
      <c r="B182" s="54">
        <f t="shared" si="16"/>
        <v>171</v>
      </c>
      <c r="C182" s="55">
        <f>$C$11*(1+Premissas!$C$17)^(B182/12)-1</f>
        <v>350486.55093850847</v>
      </c>
      <c r="D182" s="56">
        <f t="shared" si="20"/>
        <v>4246.2449877034887</v>
      </c>
      <c r="E182" s="56">
        <f>IF(-Financiamento!I191-Investimentos!D182&gt;0,-Financiamento!I191-Investimentos!D182,0)</f>
        <v>0</v>
      </c>
      <c r="F182" s="93">
        <f>FV((1+Premissas!$C$17)^(1/12)-1,Premissas!$C$23-B181,0,-E182)</f>
        <v>0</v>
      </c>
      <c r="G182" s="95">
        <v>6</v>
      </c>
      <c r="I182" s="54"/>
    </row>
    <row r="183" spans="2:9" s="38" customFormat="1" ht="14.5" outlineLevel="1">
      <c r="B183" s="54">
        <f t="shared" si="16"/>
        <v>172</v>
      </c>
      <c r="C183" s="55">
        <f>$C$11*(1+Premissas!$C$17)^(B183/12)-1</f>
        <v>353066.56031449005</v>
      </c>
      <c r="D183" s="56">
        <f t="shared" si="20"/>
        <v>4246.2449877034887</v>
      </c>
      <c r="E183" s="56">
        <f>IF(-Financiamento!I192-Investimentos!D183&gt;0,-Financiamento!I192-Investimentos!D183,0)</f>
        <v>0</v>
      </c>
      <c r="F183" s="93">
        <f>FV((1+Premissas!$C$17)^(1/12)-1,Premissas!$C$23-B182,0,-E183)</f>
        <v>0</v>
      </c>
      <c r="G183" s="95">
        <v>6</v>
      </c>
      <c r="I183" s="54"/>
    </row>
    <row r="184" spans="2:9" s="38" customFormat="1" ht="14.5" outlineLevel="1">
      <c r="B184" s="54">
        <f t="shared" si="16"/>
        <v>173</v>
      </c>
      <c r="C184" s="55">
        <f>$C$11*(1+Premissas!$C$17)^(B184/12)-1</f>
        <v>355665.5616585525</v>
      </c>
      <c r="D184" s="56">
        <f t="shared" si="20"/>
        <v>4246.2449877034887</v>
      </c>
      <c r="E184" s="56">
        <f>IF(-Financiamento!I193-Investimentos!D184&gt;0,-Financiamento!I193-Investimentos!D184,0)</f>
        <v>0</v>
      </c>
      <c r="F184" s="93">
        <f>FV((1+Premissas!$C$17)^(1/12)-1,Premissas!$C$23-B183,0,-E184)</f>
        <v>0</v>
      </c>
      <c r="G184" s="95">
        <v>6</v>
      </c>
      <c r="I184" s="54"/>
    </row>
    <row r="185" spans="2:9" s="38" customFormat="1" ht="14.5" outlineLevel="1">
      <c r="B185" s="54">
        <f t="shared" si="16"/>
        <v>174</v>
      </c>
      <c r="C185" s="55">
        <f>$C$11*(1+Premissas!$C$17)^(B185/12)-1</f>
        <v>358283.69477439369</v>
      </c>
      <c r="D185" s="56">
        <f t="shared" si="20"/>
        <v>4246.2449877034887</v>
      </c>
      <c r="E185" s="56">
        <f>IF(-Financiamento!I194-Investimentos!D185&gt;0,-Financiamento!I194-Investimentos!D185,0)</f>
        <v>0</v>
      </c>
      <c r="F185" s="93">
        <f>FV((1+Premissas!$C$17)^(1/12)-1,Premissas!$C$23-B184,0,-E185)</f>
        <v>0</v>
      </c>
      <c r="G185" s="95">
        <v>6</v>
      </c>
      <c r="I185" s="54"/>
    </row>
    <row r="186" spans="2:9" s="38" customFormat="1" ht="14.5" outlineLevel="1">
      <c r="B186" s="54">
        <f t="shared" si="16"/>
        <v>175</v>
      </c>
      <c r="C186" s="55">
        <f>$C$11*(1+Premissas!$C$17)^(B186/12)-1</f>
        <v>360921.10049483494</v>
      </c>
      <c r="D186" s="56">
        <f t="shared" si="20"/>
        <v>4246.2449877034887</v>
      </c>
      <c r="E186" s="56">
        <f>IF(-Financiamento!I195-Investimentos!D186&gt;0,-Financiamento!I195-Investimentos!D186,0)</f>
        <v>0</v>
      </c>
      <c r="F186" s="93">
        <f>FV((1+Premissas!$C$17)^(1/12)-1,Premissas!$C$23-B185,0,-E186)</f>
        <v>0</v>
      </c>
      <c r="G186" s="95">
        <v>6</v>
      </c>
      <c r="I186" s="54"/>
    </row>
    <row r="187" spans="2:9" s="38" customFormat="1" ht="14.5" outlineLevel="1">
      <c r="B187" s="54">
        <f t="shared" si="16"/>
        <v>176</v>
      </c>
      <c r="C187" s="55">
        <f>$C$11*(1+Premissas!$C$17)^(B187/12)-1</f>
        <v>363577.92068939592</v>
      </c>
      <c r="D187" s="56">
        <f t="shared" si="20"/>
        <v>4246.2449877034887</v>
      </c>
      <c r="E187" s="56">
        <f>IF(-Financiamento!I196-Investimentos!D187&gt;0,-Financiamento!I196-Investimentos!D187,0)</f>
        <v>0</v>
      </c>
      <c r="F187" s="93">
        <f>FV((1+Premissas!$C$17)^(1/12)-1,Premissas!$C$23-B186,0,-E187)</f>
        <v>0</v>
      </c>
      <c r="G187" s="95">
        <v>6</v>
      </c>
      <c r="I187" s="54"/>
    </row>
    <row r="188" spans="2:9" s="38" customFormat="1" ht="14.5" outlineLevel="1">
      <c r="B188" s="54">
        <f t="shared" si="16"/>
        <v>177</v>
      </c>
      <c r="C188" s="55">
        <f>$C$11*(1+Premissas!$C$17)^(B188/12)-1</f>
        <v>366254.29827192664</v>
      </c>
      <c r="D188" s="56">
        <f t="shared" si="20"/>
        <v>4246.2449877034887</v>
      </c>
      <c r="E188" s="56">
        <f>IF(-Financiamento!I197-Investimentos!D188&gt;0,-Financiamento!I197-Investimentos!D188,0)</f>
        <v>0</v>
      </c>
      <c r="F188" s="93">
        <f>FV((1+Premissas!$C$17)^(1/12)-1,Premissas!$C$23-B187,0,-E188)</f>
        <v>0</v>
      </c>
      <c r="G188" s="95">
        <v>6</v>
      </c>
      <c r="I188" s="54"/>
    </row>
    <row r="189" spans="2:9" s="38" customFormat="1" ht="14.5" outlineLevel="1">
      <c r="B189" s="54">
        <f t="shared" si="16"/>
        <v>178</v>
      </c>
      <c r="C189" s="55">
        <f>$C$11*(1+Premissas!$C$17)^(B189/12)-1</f>
        <v>368950.37720829458</v>
      </c>
      <c r="D189" s="56">
        <f t="shared" si="20"/>
        <v>4246.2449877034887</v>
      </c>
      <c r="E189" s="56">
        <f>IF(-Financiamento!I198-Investimentos!D189&gt;0,-Financiamento!I198-Investimentos!D189,0)</f>
        <v>0</v>
      </c>
      <c r="F189" s="93">
        <f>FV((1+Premissas!$C$17)^(1/12)-1,Premissas!$C$23-B188,0,-E189)</f>
        <v>0</v>
      </c>
      <c r="G189" s="95">
        <v>6</v>
      </c>
      <c r="I189" s="54"/>
    </row>
    <row r="190" spans="2:9" s="38" customFormat="1" ht="14.5" outlineLevel="1">
      <c r="B190" s="54">
        <f t="shared" si="16"/>
        <v>179</v>
      </c>
      <c r="C190" s="55">
        <f>$C$11*(1+Premissas!$C$17)^(B190/12)-1</f>
        <v>371666.30252412905</v>
      </c>
      <c r="D190" s="56">
        <f t="shared" si="20"/>
        <v>4246.2449877034887</v>
      </c>
      <c r="E190" s="56">
        <f>IF(-Financiamento!I199-Investimentos!D190&gt;0,-Financiamento!I199-Investimentos!D190,0)</f>
        <v>0</v>
      </c>
      <c r="F190" s="93">
        <f>FV((1+Premissas!$C$17)^(1/12)-1,Premissas!$C$23-B189,0,-E190)</f>
        <v>0</v>
      </c>
      <c r="G190" s="95">
        <v>6</v>
      </c>
      <c r="I190" s="54"/>
    </row>
    <row r="191" spans="2:9" s="38" customFormat="1" ht="14.5" outlineLevel="1">
      <c r="B191" s="54">
        <f t="shared" si="16"/>
        <v>180</v>
      </c>
      <c r="C191" s="55">
        <f>$C$11*(1+Premissas!$C$17)^(B191/12)-1</f>
        <v>374402.22031262226</v>
      </c>
      <c r="D191" s="88">
        <f t="shared" ref="D191:D202" si="21">D190</f>
        <v>4246.2449877034887</v>
      </c>
      <c r="E191" s="56">
        <f>IF(-Financiamento!I200-Investimentos!D191&gt;0,-Financiamento!I200-Investimentos!D191,0)</f>
        <v>0</v>
      </c>
      <c r="F191" s="93">
        <f>FV((1+Premissas!$C$17)^(1/12)-1,Premissas!$C$23-B190,0,-E191)</f>
        <v>0</v>
      </c>
      <c r="G191" s="95">
        <v>6</v>
      </c>
      <c r="I191" s="54"/>
    </row>
    <row r="192" spans="2:9" s="38" customFormat="1" ht="14.5" outlineLevel="1">
      <c r="B192" s="54">
        <f t="shared" si="16"/>
        <v>181</v>
      </c>
      <c r="C192" s="55">
        <f>$C$11*(1+Premissas!$C$17)^(B192/12)-1</f>
        <v>377158.27774238738</v>
      </c>
      <c r="D192" s="89">
        <f>D191*((1+Premissas!$C$15)*(1+Premissas!$C$12))</f>
        <v>4480.8500232741062</v>
      </c>
      <c r="E192" s="56">
        <f>IF(-Financiamento!I201-Investimentos!D192&gt;0,-Financiamento!I201-Investimentos!D192,0)</f>
        <v>0</v>
      </c>
      <c r="F192" s="93">
        <f>FV((1+Premissas!$C$17)^(1/12)-1,Premissas!$C$23-B191,0,-E192)</f>
        <v>0</v>
      </c>
      <c r="G192" s="95">
        <v>6</v>
      </c>
      <c r="I192" s="54"/>
    </row>
    <row r="193" spans="2:9" s="38" customFormat="1" ht="14.5" outlineLevel="1">
      <c r="B193" s="54">
        <f t="shared" si="16"/>
        <v>182</v>
      </c>
      <c r="C193" s="55">
        <f>$C$11*(1+Premissas!$C$17)^(B193/12)-1</f>
        <v>379934.62306537584</v>
      </c>
      <c r="D193" s="56">
        <f t="shared" si="21"/>
        <v>4480.8500232741062</v>
      </c>
      <c r="E193" s="56">
        <f>IF(-Financiamento!I202-Investimentos!D193&gt;0,-Financiamento!I202-Investimentos!D193,0)</f>
        <v>0</v>
      </c>
      <c r="F193" s="93">
        <f>FV((1+Premissas!$C$17)^(1/12)-1,Premissas!$C$23-B192,0,-E193)</f>
        <v>0</v>
      </c>
      <c r="G193" s="95">
        <v>6</v>
      </c>
      <c r="I193" s="54"/>
    </row>
    <row r="194" spans="2:9" s="38" customFormat="1" ht="14.5" outlineLevel="1">
      <c r="B194" s="54">
        <f t="shared" si="16"/>
        <v>183</v>
      </c>
      <c r="C194" s="55">
        <f>$C$11*(1+Premissas!$C$17)^(B194/12)-1</f>
        <v>382731.40562485124</v>
      </c>
      <c r="D194" s="56">
        <f t="shared" si="21"/>
        <v>4480.8500232741062</v>
      </c>
      <c r="E194" s="56">
        <f>IF(-Financiamento!I203-Investimentos!D194&gt;0,-Financiamento!I203-Investimentos!D194,0)</f>
        <v>0</v>
      </c>
      <c r="F194" s="93">
        <f>FV((1+Premissas!$C$17)^(1/12)-1,Premissas!$C$23-B193,0,-E194)</f>
        <v>0</v>
      </c>
      <c r="G194" s="95">
        <v>6</v>
      </c>
      <c r="I194" s="54"/>
    </row>
    <row r="195" spans="2:9" s="38" customFormat="1" ht="14.5" outlineLevel="1">
      <c r="B195" s="54">
        <f t="shared" si="16"/>
        <v>184</v>
      </c>
      <c r="C195" s="55">
        <f>$C$11*(1+Premissas!$C$17)^(B195/12)-1</f>
        <v>385548.77586342325</v>
      </c>
      <c r="D195" s="56">
        <f t="shared" si="21"/>
        <v>4480.8500232741062</v>
      </c>
      <c r="E195" s="56">
        <f>IF(-Financiamento!I204-Investimentos!D195&gt;0,-Financiamento!I204-Investimentos!D195,0)</f>
        <v>0</v>
      </c>
      <c r="F195" s="93">
        <f>FV((1+Premissas!$C$17)^(1/12)-1,Premissas!$C$23-B194,0,-E195)</f>
        <v>0</v>
      </c>
      <c r="G195" s="95">
        <v>6</v>
      </c>
      <c r="I195" s="54"/>
    </row>
    <row r="196" spans="2:9" s="38" customFormat="1" ht="14.5" outlineLevel="1">
      <c r="B196" s="54">
        <f t="shared" si="16"/>
        <v>185</v>
      </c>
      <c r="C196" s="55">
        <f>$C$11*(1+Premissas!$C$17)^(B196/12)-1</f>
        <v>388386.88533113932</v>
      </c>
      <c r="D196" s="56">
        <f t="shared" si="21"/>
        <v>4480.8500232741062</v>
      </c>
      <c r="E196" s="56">
        <f>IF(-Financiamento!I205-Investimentos!D196&gt;0,-Financiamento!I205-Investimentos!D196,0)</f>
        <v>0</v>
      </c>
      <c r="F196" s="93">
        <f>FV((1+Premissas!$C$17)^(1/12)-1,Premissas!$C$23-B195,0,-E196)</f>
        <v>0</v>
      </c>
      <c r="G196" s="95">
        <v>6</v>
      </c>
      <c r="I196" s="54"/>
    </row>
    <row r="197" spans="2:9" s="38" customFormat="1" ht="14.5" outlineLevel="1">
      <c r="B197" s="54">
        <f t="shared" si="16"/>
        <v>186</v>
      </c>
      <c r="C197" s="55">
        <f>$C$11*(1+Premissas!$C$17)^(B197/12)-1</f>
        <v>391245.88669363799</v>
      </c>
      <c r="D197" s="56">
        <f t="shared" si="21"/>
        <v>4480.8500232741062</v>
      </c>
      <c r="E197" s="56">
        <f>IF(-Financiamento!I206-Investimentos!D197&gt;0,-Financiamento!I206-Investimentos!D197,0)</f>
        <v>0</v>
      </c>
      <c r="F197" s="93">
        <f>FV((1+Premissas!$C$17)^(1/12)-1,Premissas!$C$23-B196,0,-E197)</f>
        <v>0</v>
      </c>
      <c r="G197" s="95">
        <v>6</v>
      </c>
      <c r="I197" s="54"/>
    </row>
    <row r="198" spans="2:9" s="38" customFormat="1" ht="14.5" outlineLevel="1">
      <c r="B198" s="54">
        <f t="shared" si="16"/>
        <v>187</v>
      </c>
      <c r="C198" s="55">
        <f>$C$11*(1+Premissas!$C$17)^(B198/12)-1</f>
        <v>394125.93374035979</v>
      </c>
      <c r="D198" s="56">
        <f t="shared" si="21"/>
        <v>4480.8500232741062</v>
      </c>
      <c r="E198" s="56">
        <f>IF(-Financiamento!I207-Investimentos!D198&gt;0,-Financiamento!I207-Investimentos!D198,0)</f>
        <v>0</v>
      </c>
      <c r="F198" s="93">
        <f>FV((1+Premissas!$C$17)^(1/12)-1,Premissas!$C$23-B197,0,-E198)</f>
        <v>0</v>
      </c>
      <c r="G198" s="95">
        <v>6</v>
      </c>
      <c r="I198" s="54"/>
    </row>
    <row r="199" spans="2:9" s="38" customFormat="1" ht="14.5" outlineLevel="1">
      <c r="B199" s="54">
        <f t="shared" si="16"/>
        <v>188</v>
      </c>
      <c r="C199" s="55">
        <f>$C$11*(1+Premissas!$C$17)^(B199/12)-1</f>
        <v>397027.18139282032</v>
      </c>
      <c r="D199" s="56">
        <f t="shared" si="21"/>
        <v>4480.8500232741062</v>
      </c>
      <c r="E199" s="56">
        <f>IF(-Financiamento!I208-Investimentos!D199&gt;0,-Financiamento!I208-Investimentos!D199,0)</f>
        <v>0</v>
      </c>
      <c r="F199" s="93">
        <f>FV((1+Premissas!$C$17)^(1/12)-1,Premissas!$C$23-B198,0,-E199)</f>
        <v>0</v>
      </c>
      <c r="G199" s="95">
        <v>6</v>
      </c>
      <c r="I199" s="54"/>
    </row>
    <row r="200" spans="2:9" s="38" customFormat="1" ht="14.5" outlineLevel="1">
      <c r="B200" s="54">
        <f t="shared" si="16"/>
        <v>189</v>
      </c>
      <c r="C200" s="55">
        <f>$C$11*(1+Premissas!$C$17)^(B200/12)-1</f>
        <v>399949.78571294388</v>
      </c>
      <c r="D200" s="56">
        <f t="shared" si="21"/>
        <v>4480.8500232741062</v>
      </c>
      <c r="E200" s="56">
        <f>IF(-Financiamento!I209-Investimentos!D200&gt;0,-Financiamento!I209-Investimentos!D200,0)</f>
        <v>0</v>
      </c>
      <c r="F200" s="93">
        <f>FV((1+Premissas!$C$17)^(1/12)-1,Premissas!$C$23-B199,0,-E200)</f>
        <v>0</v>
      </c>
      <c r="G200" s="95">
        <v>6</v>
      </c>
      <c r="I200" s="54"/>
    </row>
    <row r="201" spans="2:9" s="38" customFormat="1" ht="14.5" outlineLevel="1">
      <c r="B201" s="54">
        <f t="shared" si="16"/>
        <v>190</v>
      </c>
      <c r="C201" s="55">
        <f>$C$11*(1+Premissas!$C$17)^(B201/12)-1</f>
        <v>402893.9039114578</v>
      </c>
      <c r="D201" s="56">
        <f t="shared" si="21"/>
        <v>4480.8500232741062</v>
      </c>
      <c r="E201" s="56">
        <f>IF(-Financiamento!I210-Investimentos!D201&gt;0,-Financiamento!I210-Investimentos!D201,0)</f>
        <v>0</v>
      </c>
      <c r="F201" s="93">
        <f>FV((1+Premissas!$C$17)^(1/12)-1,Premissas!$C$23-B200,0,-E201)</f>
        <v>0</v>
      </c>
      <c r="G201" s="95">
        <v>6</v>
      </c>
      <c r="I201" s="54"/>
    </row>
    <row r="202" spans="2:9" s="38" customFormat="1" ht="14.5" outlineLevel="1">
      <c r="B202" s="54">
        <f t="shared" si="16"/>
        <v>191</v>
      </c>
      <c r="C202" s="55">
        <f>$C$11*(1+Premissas!$C$17)^(B202/12)-1</f>
        <v>405859.69435634906</v>
      </c>
      <c r="D202" s="56">
        <f t="shared" si="21"/>
        <v>4480.8500232741062</v>
      </c>
      <c r="E202" s="56">
        <f>IF(-Financiamento!I211-Investimentos!D202&gt;0,-Financiamento!I211-Investimentos!D202,0)</f>
        <v>0</v>
      </c>
      <c r="F202" s="93">
        <f>FV((1+Premissas!$C$17)^(1/12)-1,Premissas!$C$23-B201,0,-E202)</f>
        <v>0</v>
      </c>
      <c r="G202" s="95">
        <v>6</v>
      </c>
      <c r="I202" s="54"/>
    </row>
    <row r="203" spans="2:9" s="38" customFormat="1" ht="14.5" outlineLevel="1">
      <c r="B203" s="54">
        <f t="shared" si="16"/>
        <v>192</v>
      </c>
      <c r="C203" s="55">
        <f>$C$11*(1+Premissas!$C$17)^(B203/12)-1</f>
        <v>408847.31658138358</v>
      </c>
      <c r="D203" s="88">
        <f t="shared" ref="D203:D214" si="22">D202</f>
        <v>4480.8500232741062</v>
      </c>
      <c r="E203" s="56">
        <f>IF(-Financiamento!I212-Investimentos!D203&gt;0,-Financiamento!I212-Investimentos!D203,0)</f>
        <v>0</v>
      </c>
      <c r="F203" s="93">
        <f>FV((1+Premissas!$C$17)^(1/12)-1,Premissas!$C$23-B202,0,-E203)</f>
        <v>0</v>
      </c>
      <c r="G203" s="95">
        <v>6</v>
      </c>
      <c r="I203" s="54"/>
    </row>
    <row r="204" spans="2:9" s="38" customFormat="1" ht="14.5" outlineLevel="1">
      <c r="B204" s="54">
        <f t="shared" si="16"/>
        <v>193</v>
      </c>
      <c r="C204" s="55">
        <f>$C$11*(1+Premissas!$C$17)^(B204/12)-1</f>
        <v>411856.93129468698</v>
      </c>
      <c r="D204" s="89">
        <f>D203*((1+Premissas!$C$15)*(1+Premissas!$C$12))</f>
        <v>4728.4169870600008</v>
      </c>
      <c r="E204" s="56">
        <f>IF(-Financiamento!I213-Investimentos!D204&gt;0,-Financiamento!I213-Investimentos!D204,0)</f>
        <v>0</v>
      </c>
      <c r="F204" s="93">
        <f>FV((1+Premissas!$C$17)^(1/12)-1,Premissas!$C$23-B203,0,-E204)</f>
        <v>0</v>
      </c>
      <c r="G204" s="95">
        <v>6</v>
      </c>
      <c r="I204" s="54"/>
    </row>
    <row r="205" spans="2:9" s="38" customFormat="1" ht="14.5" outlineLevel="1">
      <c r="B205" s="54">
        <f t="shared" ref="B205:B268" si="23">B204+1</f>
        <v>194</v>
      </c>
      <c r="C205" s="55">
        <f>$C$11*(1+Premissas!$C$17)^(B205/12)-1</f>
        <v>414888.70038739045</v>
      </c>
      <c r="D205" s="56">
        <f t="shared" si="22"/>
        <v>4728.4169870600008</v>
      </c>
      <c r="E205" s="56">
        <f>IF(-Financiamento!I214-Investimentos!D205&gt;0,-Financiamento!I214-Investimentos!D205,0)</f>
        <v>0</v>
      </c>
      <c r="F205" s="93">
        <f>FV((1+Premissas!$C$17)^(1/12)-1,Premissas!$C$23-B204,0,-E205)</f>
        <v>0</v>
      </c>
      <c r="G205" s="95">
        <v>6</v>
      </c>
      <c r="I205" s="54"/>
    </row>
    <row r="206" spans="2:9" s="38" customFormat="1" ht="14.5" outlineLevel="1">
      <c r="B206" s="54">
        <f t="shared" si="23"/>
        <v>195</v>
      </c>
      <c r="C206" s="55">
        <f>$C$11*(1+Premissas!$C$17)^(B206/12)-1</f>
        <v>417942.7869423377</v>
      </c>
      <c r="D206" s="56">
        <f t="shared" si="22"/>
        <v>4728.4169870600008</v>
      </c>
      <c r="E206" s="56">
        <f>IF(-Financiamento!I215-Investimentos!D206&gt;0,-Financiamento!I215-Investimentos!D206,0)</f>
        <v>0</v>
      </c>
      <c r="F206" s="93">
        <f>FV((1+Premissas!$C$17)^(1/12)-1,Premissas!$C$23-B205,0,-E206)</f>
        <v>0</v>
      </c>
      <c r="G206" s="95">
        <v>6</v>
      </c>
      <c r="I206" s="54"/>
    </row>
    <row r="207" spans="2:9" s="38" customFormat="1" ht="14.5" outlineLevel="1">
      <c r="B207" s="54">
        <f t="shared" si="23"/>
        <v>196</v>
      </c>
      <c r="C207" s="55">
        <f>$C$11*(1+Premissas!$C$17)^(B207/12)-1</f>
        <v>421019.35524285812</v>
      </c>
      <c r="D207" s="56">
        <f t="shared" si="22"/>
        <v>4728.4169870600008</v>
      </c>
      <c r="E207" s="56">
        <f>IF(-Financiamento!I216-Investimentos!D207&gt;0,-Financiamento!I216-Investimentos!D207,0)</f>
        <v>0</v>
      </c>
      <c r="F207" s="93">
        <f>FV((1+Premissas!$C$17)^(1/12)-1,Premissas!$C$23-B206,0,-E207)</f>
        <v>0</v>
      </c>
      <c r="G207" s="95">
        <v>6</v>
      </c>
      <c r="I207" s="54"/>
    </row>
    <row r="208" spans="2:9" s="38" customFormat="1" ht="14.5" outlineLevel="1">
      <c r="B208" s="54">
        <f t="shared" si="23"/>
        <v>197</v>
      </c>
      <c r="C208" s="55">
        <f>$C$11*(1+Premissas!$C$17)^(B208/12)-1</f>
        <v>424118.57078160427</v>
      </c>
      <c r="D208" s="56">
        <f t="shared" si="22"/>
        <v>4728.4169870600008</v>
      </c>
      <c r="E208" s="56">
        <f>IF(-Financiamento!I217-Investimentos!D208&gt;0,-Financiamento!I217-Investimentos!D208,0)</f>
        <v>0</v>
      </c>
      <c r="F208" s="93">
        <f>FV((1+Premissas!$C$17)^(1/12)-1,Premissas!$C$23-B207,0,-E208)</f>
        <v>0</v>
      </c>
      <c r="G208" s="95">
        <v>6</v>
      </c>
      <c r="I208" s="54"/>
    </row>
    <row r="209" spans="2:9" s="38" customFormat="1" ht="14.5" outlineLevel="1">
      <c r="B209" s="54">
        <f t="shared" si="23"/>
        <v>198</v>
      </c>
      <c r="C209" s="55">
        <f>$C$11*(1+Premissas!$C$17)^(B209/12)-1</f>
        <v>427240.60026945273</v>
      </c>
      <c r="D209" s="56">
        <f t="shared" si="22"/>
        <v>4728.4169870600008</v>
      </c>
      <c r="E209" s="56">
        <f>IF(-Financiamento!I218-Investimentos!D209&gt;0,-Financiamento!I218-Investimentos!D209,0)</f>
        <v>0</v>
      </c>
      <c r="F209" s="93">
        <f>FV((1+Premissas!$C$17)^(1/12)-1,Premissas!$C$23-B208,0,-E209)</f>
        <v>0</v>
      </c>
      <c r="G209" s="95">
        <v>6</v>
      </c>
      <c r="I209" s="54"/>
    </row>
    <row r="210" spans="2:9" s="38" customFormat="1" ht="14.5" outlineLevel="1">
      <c r="B210" s="54">
        <f t="shared" si="23"/>
        <v>199</v>
      </c>
      <c r="C210" s="55">
        <f>$C$11*(1+Premissas!$C$17)^(B210/12)-1</f>
        <v>430385.61164447287</v>
      </c>
      <c r="D210" s="56">
        <f t="shared" si="22"/>
        <v>4728.4169870600008</v>
      </c>
      <c r="E210" s="56">
        <f>IF(-Financiamento!I219-Investimentos!D210&gt;0,-Financiamento!I219-Investimentos!D210,0)</f>
        <v>0</v>
      </c>
      <c r="F210" s="93">
        <f>FV((1+Premissas!$C$17)^(1/12)-1,Premissas!$C$23-B209,0,-E210)</f>
        <v>0</v>
      </c>
      <c r="G210" s="95">
        <v>6</v>
      </c>
      <c r="I210" s="54"/>
    </row>
    <row r="211" spans="2:9" s="38" customFormat="1" ht="14.5" outlineLevel="1">
      <c r="B211" s="54">
        <f t="shared" si="23"/>
        <v>200</v>
      </c>
      <c r="C211" s="55">
        <f>$C$11*(1+Premissas!$C$17)^(B211/12)-1</f>
        <v>433553.77408095996</v>
      </c>
      <c r="D211" s="56">
        <f t="shared" si="22"/>
        <v>4728.4169870600008</v>
      </c>
      <c r="E211" s="56">
        <f>IF(-Financiamento!I220-Investimentos!D211&gt;0,-Financiamento!I220-Investimentos!D211,0)</f>
        <v>0</v>
      </c>
      <c r="F211" s="93">
        <f>FV((1+Premissas!$C$17)^(1/12)-1,Premissas!$C$23-B210,0,-E211)</f>
        <v>0</v>
      </c>
      <c r="G211" s="95">
        <v>6</v>
      </c>
      <c r="I211" s="54"/>
    </row>
    <row r="212" spans="2:9" s="38" customFormat="1" ht="14.5" outlineLevel="1">
      <c r="B212" s="54">
        <f t="shared" si="23"/>
        <v>201</v>
      </c>
      <c r="C212" s="55">
        <f>$C$11*(1+Premissas!$C$17)^(B212/12)-1</f>
        <v>436745.25799853483</v>
      </c>
      <c r="D212" s="56">
        <f t="shared" si="22"/>
        <v>4728.4169870600008</v>
      </c>
      <c r="E212" s="56">
        <f>IF(-Financiamento!I221-Investimentos!D212&gt;0,-Financiamento!I221-Investimentos!D212,0)</f>
        <v>0</v>
      </c>
      <c r="F212" s="93">
        <f>FV((1+Premissas!$C$17)^(1/12)-1,Premissas!$C$23-B211,0,-E212)</f>
        <v>0</v>
      </c>
      <c r="G212" s="95">
        <v>6</v>
      </c>
      <c r="I212" s="54"/>
    </row>
    <row r="213" spans="2:9" s="38" customFormat="1" ht="14.5" outlineLevel="1">
      <c r="B213" s="54">
        <f t="shared" si="23"/>
        <v>202</v>
      </c>
      <c r="C213" s="55">
        <f>$C$11*(1+Premissas!$C$17)^(B213/12)-1</f>
        <v>439960.23507131182</v>
      </c>
      <c r="D213" s="56">
        <f t="shared" si="22"/>
        <v>4728.4169870600008</v>
      </c>
      <c r="E213" s="56">
        <f>IF(-Financiamento!I222-Investimentos!D213&gt;0,-Financiamento!I222-Investimentos!D213,0)</f>
        <v>0</v>
      </c>
      <c r="F213" s="93">
        <f>FV((1+Premissas!$C$17)^(1/12)-1,Premissas!$C$23-B212,0,-E213)</f>
        <v>0</v>
      </c>
      <c r="G213" s="95">
        <v>6</v>
      </c>
      <c r="I213" s="54"/>
    </row>
    <row r="214" spans="2:9" s="38" customFormat="1" ht="14.5" outlineLevel="1">
      <c r="B214" s="54">
        <f t="shared" si="23"/>
        <v>203</v>
      </c>
      <c r="C214" s="55">
        <f>$C$11*(1+Premissas!$C$17)^(B214/12)-1</f>
        <v>443198.87823713321</v>
      </c>
      <c r="D214" s="56">
        <f t="shared" si="22"/>
        <v>4728.4169870600008</v>
      </c>
      <c r="E214" s="56">
        <f>IF(-Financiamento!I223-Investimentos!D214&gt;0,-Financiamento!I223-Investimentos!D214,0)</f>
        <v>0</v>
      </c>
      <c r="F214" s="93">
        <f>FV((1+Premissas!$C$17)^(1/12)-1,Premissas!$C$23-B213,0,-E214)</f>
        <v>0</v>
      </c>
      <c r="G214" s="95">
        <v>6</v>
      </c>
      <c r="I214" s="54"/>
    </row>
    <row r="215" spans="2:9" s="38" customFormat="1" ht="14.5" outlineLevel="1">
      <c r="B215" s="54">
        <f t="shared" si="23"/>
        <v>204</v>
      </c>
      <c r="C215" s="55">
        <f>$C$11*(1+Premissas!$C$17)^(B215/12)-1</f>
        <v>446461.36170687084</v>
      </c>
      <c r="D215" s="88">
        <f t="shared" ref="D215:D226" si="24">D214</f>
        <v>4728.4169870600008</v>
      </c>
      <c r="E215" s="56">
        <f>IF(-Financiamento!I224-Investimentos!D215&gt;0,-Financiamento!I224-Investimentos!D215,0)</f>
        <v>0</v>
      </c>
      <c r="F215" s="93">
        <f>FV((1+Premissas!$C$17)^(1/12)-1,Premissas!$C$23-B214,0,-E215)</f>
        <v>0</v>
      </c>
      <c r="G215" s="95">
        <v>6</v>
      </c>
      <c r="I215" s="54"/>
    </row>
    <row r="216" spans="2:9" s="38" customFormat="1" ht="14.5" outlineLevel="1">
      <c r="B216" s="54">
        <f t="shared" si="23"/>
        <v>205</v>
      </c>
      <c r="C216" s="55">
        <f>$C$11*(1+Premissas!$C$17)^(B216/12)-1</f>
        <v>449747.86097379815</v>
      </c>
      <c r="D216" s="89">
        <f>D215*((1+Premissas!$C$15)*(1+Premissas!$C$12))</f>
        <v>4989.6620255950656</v>
      </c>
      <c r="E216" s="56">
        <f>IF(-Financiamento!I225-Investimentos!D216&gt;0,-Financiamento!I225-Investimentos!D216,0)</f>
        <v>0</v>
      </c>
      <c r="F216" s="93">
        <f>FV((1+Premissas!$C$17)^(1/12)-1,Premissas!$C$23-B215,0,-E216)</f>
        <v>0</v>
      </c>
      <c r="G216" s="95">
        <v>6</v>
      </c>
      <c r="I216" s="54"/>
    </row>
    <row r="217" spans="2:9" s="38" customFormat="1" ht="14.5" outlineLevel="1">
      <c r="B217" s="54">
        <f t="shared" si="23"/>
        <v>206</v>
      </c>
      <c r="C217" s="55">
        <f>$C$11*(1+Premissas!$C$17)^(B217/12)-1</f>
        <v>453058.55282303039</v>
      </c>
      <c r="D217" s="56">
        <f t="shared" si="24"/>
        <v>4989.6620255950656</v>
      </c>
      <c r="E217" s="56">
        <f>IF(-Financiamento!I226-Investimentos!D217&gt;0,-Financiamento!I226-Investimentos!D217,0)</f>
        <v>0</v>
      </c>
      <c r="F217" s="93">
        <f>FV((1+Premissas!$C$17)^(1/12)-1,Premissas!$C$23-B216,0,-E217)</f>
        <v>0</v>
      </c>
      <c r="G217" s="95">
        <v>6</v>
      </c>
      <c r="I217" s="54"/>
    </row>
    <row r="218" spans="2:9" s="38" customFormat="1" ht="14.5" outlineLevel="1">
      <c r="B218" s="54">
        <f t="shared" si="23"/>
        <v>207</v>
      </c>
      <c r="C218" s="55">
        <f>$C$11*(1+Premissas!$C$17)^(B218/12)-1</f>
        <v>456393.61534103268</v>
      </c>
      <c r="D218" s="56">
        <f t="shared" si="24"/>
        <v>4989.6620255950656</v>
      </c>
      <c r="E218" s="56">
        <f>IF(-Financiamento!I227-Investimentos!D218&gt;0,-Financiamento!I227-Investimentos!D218,0)</f>
        <v>0</v>
      </c>
      <c r="F218" s="93">
        <f>FV((1+Premissas!$C$17)^(1/12)-1,Premissas!$C$23-B217,0,-E218)</f>
        <v>0</v>
      </c>
      <c r="G218" s="95">
        <v>6</v>
      </c>
      <c r="I218" s="54"/>
    </row>
    <row r="219" spans="2:9" s="38" customFormat="1" ht="14.5" outlineLevel="1">
      <c r="B219" s="54">
        <f t="shared" si="23"/>
        <v>208</v>
      </c>
      <c r="C219" s="55">
        <f>$C$11*(1+Premissas!$C$17)^(B219/12)-1</f>
        <v>459753.22792520118</v>
      </c>
      <c r="D219" s="56">
        <f t="shared" si="24"/>
        <v>4989.6620255950656</v>
      </c>
      <c r="E219" s="56">
        <f>IF(-Financiamento!I228-Investimentos!D219&gt;0,-Financiamento!I228-Investimentos!D219,0)</f>
        <v>0</v>
      </c>
      <c r="F219" s="93">
        <f>FV((1+Premissas!$C$17)^(1/12)-1,Premissas!$C$23-B218,0,-E219)</f>
        <v>0</v>
      </c>
      <c r="G219" s="95">
        <v>6</v>
      </c>
      <c r="I219" s="54"/>
    </row>
    <row r="220" spans="2:9" s="38" customFormat="1" ht="14.5" outlineLevel="1">
      <c r="B220" s="54">
        <f t="shared" si="23"/>
        <v>209</v>
      </c>
      <c r="C220" s="55">
        <f>$C$11*(1+Premissas!$C$17)^(B220/12)-1</f>
        <v>463137.57129351189</v>
      </c>
      <c r="D220" s="56">
        <f t="shared" si="24"/>
        <v>4989.6620255950656</v>
      </c>
      <c r="E220" s="56">
        <f>IF(-Financiamento!I229-Investimentos!D220&gt;0,-Financiamento!I229-Investimentos!D220,0)</f>
        <v>0</v>
      </c>
      <c r="F220" s="93">
        <f>FV((1+Premissas!$C$17)^(1/12)-1,Premissas!$C$23-B219,0,-E220)</f>
        <v>0</v>
      </c>
      <c r="G220" s="95">
        <v>6</v>
      </c>
      <c r="I220" s="54"/>
    </row>
    <row r="221" spans="2:9" s="38" customFormat="1" ht="14.5" outlineLevel="1">
      <c r="B221" s="54">
        <f t="shared" si="23"/>
        <v>210</v>
      </c>
      <c r="C221" s="55">
        <f>$C$11*(1+Premissas!$C$17)^(B221/12)-1</f>
        <v>466546.82749424246</v>
      </c>
      <c r="D221" s="56">
        <f t="shared" si="24"/>
        <v>4989.6620255950656</v>
      </c>
      <c r="E221" s="56">
        <f>IF(-Financiamento!I230-Investimentos!D221&gt;0,-Financiamento!I230-Investimentos!D221,0)</f>
        <v>0</v>
      </c>
      <c r="F221" s="93">
        <f>FV((1+Premissas!$C$17)^(1/12)-1,Premissas!$C$23-B220,0,-E221)</f>
        <v>0</v>
      </c>
      <c r="G221" s="95">
        <v>6</v>
      </c>
      <c r="I221" s="54"/>
    </row>
    <row r="222" spans="2:9" s="38" customFormat="1" ht="14.5" outlineLevel="1">
      <c r="B222" s="54">
        <f t="shared" si="23"/>
        <v>211</v>
      </c>
      <c r="C222" s="55">
        <f>$C$11*(1+Premissas!$C$17)^(B222/12)-1</f>
        <v>469981.17991576443</v>
      </c>
      <c r="D222" s="56">
        <f t="shared" si="24"/>
        <v>4989.6620255950656</v>
      </c>
      <c r="E222" s="56">
        <f>IF(-Financiamento!I231-Investimentos!D222&gt;0,-Financiamento!I231-Investimentos!D222,0)</f>
        <v>0</v>
      </c>
      <c r="F222" s="93">
        <f>FV((1+Premissas!$C$17)^(1/12)-1,Premissas!$C$23-B221,0,-E222)</f>
        <v>0</v>
      </c>
      <c r="G222" s="95">
        <v>6</v>
      </c>
      <c r="I222" s="54"/>
    </row>
    <row r="223" spans="2:9" s="38" customFormat="1" ht="14.5" outlineLevel="1">
      <c r="B223" s="54">
        <f t="shared" si="23"/>
        <v>212</v>
      </c>
      <c r="C223" s="55">
        <f>$C$11*(1+Premissas!$C$17)^(B223/12)-1</f>
        <v>473440.81329640822</v>
      </c>
      <c r="D223" s="56">
        <f t="shared" si="24"/>
        <v>4989.6620255950656</v>
      </c>
      <c r="E223" s="56">
        <f>IF(-Financiamento!I232-Investimentos!D223&gt;0,-Financiamento!I232-Investimentos!D223,0)</f>
        <v>0</v>
      </c>
      <c r="F223" s="93">
        <f>FV((1+Premissas!$C$17)^(1/12)-1,Premissas!$C$23-B222,0,-E223)</f>
        <v>0</v>
      </c>
      <c r="G223" s="95">
        <v>6</v>
      </c>
      <c r="I223" s="54"/>
    </row>
    <row r="224" spans="2:9" s="38" customFormat="1" ht="14.5" outlineLevel="1">
      <c r="B224" s="54">
        <f t="shared" si="23"/>
        <v>213</v>
      </c>
      <c r="C224" s="55">
        <f>$C$11*(1+Premissas!$C$17)^(B224/12)-1</f>
        <v>476925.91373439995</v>
      </c>
      <c r="D224" s="56">
        <f t="shared" si="24"/>
        <v>4989.6620255950656</v>
      </c>
      <c r="E224" s="56">
        <f>IF(-Financiamento!I233-Investimentos!D224&gt;0,-Financiamento!I233-Investimentos!D224,0)</f>
        <v>0</v>
      </c>
      <c r="F224" s="93">
        <f>FV((1+Premissas!$C$17)^(1/12)-1,Premissas!$C$23-B223,0,-E224)</f>
        <v>0</v>
      </c>
      <c r="G224" s="95">
        <v>6</v>
      </c>
      <c r="I224" s="54"/>
    </row>
    <row r="225" spans="2:9" s="38" customFormat="1" ht="14.5" outlineLevel="1">
      <c r="B225" s="54">
        <f t="shared" si="23"/>
        <v>214</v>
      </c>
      <c r="C225" s="55">
        <f>$C$11*(1+Premissas!$C$17)^(B225/12)-1</f>
        <v>480436.66869787261</v>
      </c>
      <c r="D225" s="56">
        <f t="shared" si="24"/>
        <v>4989.6620255950656</v>
      </c>
      <c r="E225" s="56">
        <f>IF(-Financiamento!I234-Investimentos!D225&gt;0,-Financiamento!I234-Investimentos!D225,0)</f>
        <v>0</v>
      </c>
      <c r="F225" s="93">
        <f>FV((1+Premissas!$C$17)^(1/12)-1,Premissas!$C$23-B224,0,-E225)</f>
        <v>0</v>
      </c>
      <c r="G225" s="95">
        <v>6</v>
      </c>
      <c r="I225" s="54"/>
    </row>
    <row r="226" spans="2:9" s="38" customFormat="1" ht="14.5" outlineLevel="1">
      <c r="B226" s="54">
        <f t="shared" si="23"/>
        <v>215</v>
      </c>
      <c r="C226" s="55">
        <f>$C$11*(1+Premissas!$C$17)^(B226/12)-1</f>
        <v>483973.26703494944</v>
      </c>
      <c r="D226" s="56">
        <f t="shared" si="24"/>
        <v>4989.6620255950656</v>
      </c>
      <c r="E226" s="56">
        <f>IF(-Financiamento!I235-Investimentos!D226&gt;0,-Financiamento!I235-Investimentos!D226,0)</f>
        <v>0</v>
      </c>
      <c r="F226" s="93">
        <f>FV((1+Premissas!$C$17)^(1/12)-1,Premissas!$C$23-B225,0,-E226)</f>
        <v>0</v>
      </c>
      <c r="G226" s="95">
        <v>6</v>
      </c>
      <c r="I226" s="54"/>
    </row>
    <row r="227" spans="2:9" s="38" customFormat="1" ht="14.5" outlineLevel="1">
      <c r="B227" s="54">
        <f t="shared" si="23"/>
        <v>216</v>
      </c>
      <c r="C227" s="55">
        <f>$C$11*(1+Premissas!$C$17)^(B227/12)-1</f>
        <v>487535.898983903</v>
      </c>
      <c r="D227" s="88">
        <f t="shared" ref="D227:D238" si="25">D226</f>
        <v>4989.6620255950656</v>
      </c>
      <c r="E227" s="56">
        <f>IF(-Financiamento!I236-Investimentos!D227&gt;0,-Financiamento!I236-Investimentos!D227,0)</f>
        <v>0</v>
      </c>
      <c r="F227" s="93">
        <f>FV((1+Premissas!$C$17)^(1/12)-1,Premissas!$C$23-B226,0,-E227)</f>
        <v>0</v>
      </c>
      <c r="G227" s="95">
        <v>6</v>
      </c>
      <c r="I227" s="54"/>
    </row>
    <row r="228" spans="2:9" s="38" customFormat="1" ht="14.5" outlineLevel="1">
      <c r="B228" s="54">
        <f t="shared" si="23"/>
        <v>217</v>
      </c>
      <c r="C228" s="55">
        <f>$C$11*(1+Premissas!$C$17)^(B228/12)-1</f>
        <v>491124.75618338765</v>
      </c>
      <c r="D228" s="89">
        <f>D227*((1+Premissas!$C$15)*(1+Premissas!$C$12))</f>
        <v>5265.3408525091927</v>
      </c>
      <c r="E228" s="56">
        <f>IF(-Financiamento!I237-Investimentos!D228&gt;0,-Financiamento!I237-Investimentos!D228,0)</f>
        <v>0</v>
      </c>
      <c r="F228" s="93">
        <f>FV((1+Premissas!$C$17)^(1/12)-1,Premissas!$C$23-B227,0,-E228)</f>
        <v>0</v>
      </c>
      <c r="G228" s="95">
        <v>6</v>
      </c>
      <c r="I228" s="54"/>
    </row>
    <row r="229" spans="2:9" s="38" customFormat="1" ht="14.5" outlineLevel="1">
      <c r="B229" s="54">
        <f t="shared" si="23"/>
        <v>218</v>
      </c>
      <c r="C229" s="55">
        <f>$C$11*(1+Premissas!$C$17)^(B229/12)-1</f>
        <v>494740.03168274928</v>
      </c>
      <c r="D229" s="56">
        <f t="shared" si="25"/>
        <v>5265.3408525091927</v>
      </c>
      <c r="E229" s="56">
        <f>IF(-Financiamento!I238-Investimentos!D229&gt;0,-Financiamento!I238-Investimentos!D229,0)</f>
        <v>0</v>
      </c>
      <c r="F229" s="93">
        <f>FV((1+Premissas!$C$17)^(1/12)-1,Premissas!$C$23-B228,0,-E229)</f>
        <v>0</v>
      </c>
      <c r="G229" s="95">
        <v>6</v>
      </c>
      <c r="I229" s="54"/>
    </row>
    <row r="230" spans="2:9" s="38" customFormat="1" ht="14.5" outlineLevel="1">
      <c r="B230" s="54">
        <f t="shared" si="23"/>
        <v>219</v>
      </c>
      <c r="C230" s="55">
        <f>$C$11*(1+Premissas!$C$17)^(B230/12)-1</f>
        <v>498381.91995240771</v>
      </c>
      <c r="D230" s="56">
        <f t="shared" si="25"/>
        <v>5265.3408525091927</v>
      </c>
      <c r="E230" s="56">
        <f>IF(-Financiamento!I239-Investimentos!D230&gt;0,-Financiamento!I239-Investimentos!D230,0)</f>
        <v>0</v>
      </c>
      <c r="F230" s="93">
        <f>FV((1+Premissas!$C$17)^(1/12)-1,Premissas!$C$23-B229,0,-E230)</f>
        <v>0</v>
      </c>
      <c r="G230" s="95">
        <v>6</v>
      </c>
      <c r="I230" s="54"/>
    </row>
    <row r="231" spans="2:9" s="38" customFormat="1" ht="14.5" outlineLevel="1">
      <c r="B231" s="54">
        <f t="shared" si="23"/>
        <v>220</v>
      </c>
      <c r="C231" s="55">
        <f>$C$11*(1+Premissas!$C$17)^(B231/12)-1</f>
        <v>502050.6168943196</v>
      </c>
      <c r="D231" s="56">
        <f t="shared" si="25"/>
        <v>5265.3408525091927</v>
      </c>
      <c r="E231" s="56">
        <f>IF(-Financiamento!I240-Investimentos!D231&gt;0,-Financiamento!I240-Investimentos!D231,0)</f>
        <v>0</v>
      </c>
      <c r="F231" s="93">
        <f>FV((1+Premissas!$C$17)^(1/12)-1,Premissas!$C$23-B230,0,-E231)</f>
        <v>0</v>
      </c>
      <c r="G231" s="95">
        <v>6</v>
      </c>
      <c r="I231" s="54"/>
    </row>
    <row r="232" spans="2:9" s="38" customFormat="1" ht="14.5" outlineLevel="1">
      <c r="B232" s="54">
        <f t="shared" si="23"/>
        <v>221</v>
      </c>
      <c r="C232" s="55">
        <f>$C$11*(1+Premissas!$C$17)^(B232/12)-1</f>
        <v>505746.31985251501</v>
      </c>
      <c r="D232" s="56">
        <f t="shared" si="25"/>
        <v>5265.3408525091927</v>
      </c>
      <c r="E232" s="56">
        <f>IF(-Financiamento!I241-Investimentos!D232&gt;0,-Financiamento!I241-Investimentos!D232,0)</f>
        <v>0</v>
      </c>
      <c r="F232" s="93">
        <f>FV((1+Premissas!$C$17)^(1/12)-1,Premissas!$C$23-B231,0,-E232)</f>
        <v>0</v>
      </c>
      <c r="G232" s="95">
        <v>6</v>
      </c>
      <c r="I232" s="54"/>
    </row>
    <row r="233" spans="2:9" s="38" customFormat="1" ht="14.5" outlineLevel="1">
      <c r="B233" s="54">
        <f t="shared" si="23"/>
        <v>222</v>
      </c>
      <c r="C233" s="55">
        <f>$C$11*(1+Premissas!$C$17)^(B233/12)-1</f>
        <v>509469.22762371274</v>
      </c>
      <c r="D233" s="56">
        <f t="shared" si="25"/>
        <v>5265.3408525091927</v>
      </c>
      <c r="E233" s="56">
        <f>IF(-Financiamento!I242-Investimentos!D233&gt;0,-Financiamento!I242-Investimentos!D233,0)</f>
        <v>0</v>
      </c>
      <c r="F233" s="93">
        <f>FV((1+Premissas!$C$17)^(1/12)-1,Premissas!$C$23-B232,0,-E233)</f>
        <v>0</v>
      </c>
      <c r="G233" s="95">
        <v>6</v>
      </c>
      <c r="I233" s="54"/>
    </row>
    <row r="234" spans="2:9" s="38" customFormat="1" ht="14.5" outlineLevel="1">
      <c r="B234" s="54">
        <f t="shared" si="23"/>
        <v>223</v>
      </c>
      <c r="C234" s="55">
        <f>$C$11*(1+Premissas!$C$17)^(B234/12)-1</f>
        <v>513219.54046801478</v>
      </c>
      <c r="D234" s="56">
        <f t="shared" si="25"/>
        <v>5265.3408525091927</v>
      </c>
      <c r="E234" s="56">
        <f>IF(-Financiamento!I243-Investimentos!D234&gt;0,-Financiamento!I243-Investimentos!D234,0)</f>
        <v>0</v>
      </c>
      <c r="F234" s="93">
        <f>FV((1+Premissas!$C$17)^(1/12)-1,Premissas!$C$23-B233,0,-E234)</f>
        <v>0</v>
      </c>
      <c r="G234" s="95">
        <v>6</v>
      </c>
      <c r="I234" s="54"/>
    </row>
    <row r="235" spans="2:9" s="38" customFormat="1" ht="14.5" outlineLevel="1">
      <c r="B235" s="54">
        <f t="shared" si="23"/>
        <v>224</v>
      </c>
      <c r="C235" s="55">
        <f>$C$11*(1+Premissas!$C$17)^(B235/12)-1</f>
        <v>516997.46011967788</v>
      </c>
      <c r="D235" s="56">
        <f t="shared" si="25"/>
        <v>5265.3408525091927</v>
      </c>
      <c r="E235" s="56">
        <f>IF(-Financiamento!I244-Investimentos!D235&gt;0,-Financiamento!I244-Investimentos!D235,0)</f>
        <v>0</v>
      </c>
      <c r="F235" s="93">
        <f>FV((1+Premissas!$C$17)^(1/12)-1,Premissas!$C$23-B234,0,-E235)</f>
        <v>0</v>
      </c>
      <c r="G235" s="95">
        <v>6</v>
      </c>
      <c r="I235" s="54"/>
    </row>
    <row r="236" spans="2:9" s="38" customFormat="1" ht="14.5" outlineLevel="1">
      <c r="B236" s="54">
        <f t="shared" si="23"/>
        <v>225</v>
      </c>
      <c r="C236" s="55">
        <f>$C$11*(1+Premissas!$C$17)^(B236/12)-1</f>
        <v>520803.18979796494</v>
      </c>
      <c r="D236" s="56">
        <f t="shared" si="25"/>
        <v>5265.3408525091927</v>
      </c>
      <c r="E236" s="56">
        <f>IF(-Financiamento!I245-Investimentos!D236&gt;0,-Financiamento!I245-Investimentos!D236,0)</f>
        <v>0</v>
      </c>
      <c r="F236" s="93">
        <f>FV((1+Premissas!$C$17)^(1/12)-1,Premissas!$C$23-B235,0,-E236)</f>
        <v>0</v>
      </c>
      <c r="G236" s="95">
        <v>6</v>
      </c>
      <c r="I236" s="54"/>
    </row>
    <row r="237" spans="2:9" s="38" customFormat="1" ht="14.5" outlineLevel="1">
      <c r="B237" s="54">
        <f t="shared" si="23"/>
        <v>226</v>
      </c>
      <c r="C237" s="55">
        <f>$C$11*(1+Premissas!$C$17)^(B237/12)-1</f>
        <v>524636.93421807687</v>
      </c>
      <c r="D237" s="56">
        <f t="shared" si="25"/>
        <v>5265.3408525091927</v>
      </c>
      <c r="E237" s="56">
        <f>IF(-Financiamento!I246-Investimentos!D237&gt;0,-Financiamento!I246-Investimentos!D237,0)</f>
        <v>0</v>
      </c>
      <c r="F237" s="93">
        <f>FV((1+Premissas!$C$17)^(1/12)-1,Premissas!$C$23-B236,0,-E237)</f>
        <v>0</v>
      </c>
      <c r="G237" s="95">
        <v>6</v>
      </c>
      <c r="I237" s="54"/>
    </row>
    <row r="238" spans="2:9" s="38" customFormat="1" ht="14.5" outlineLevel="1">
      <c r="B238" s="54">
        <f t="shared" si="23"/>
        <v>227</v>
      </c>
      <c r="C238" s="55">
        <f>$C$11*(1+Premissas!$C$17)^(B238/12)-1</f>
        <v>528498.89960216486</v>
      </c>
      <c r="D238" s="56">
        <f t="shared" si="25"/>
        <v>5265.3408525091927</v>
      </c>
      <c r="E238" s="56">
        <f>IF(-Financiamento!I247-Investimentos!D238&gt;0,-Financiamento!I247-Investimentos!D238,0)</f>
        <v>0</v>
      </c>
      <c r="F238" s="93">
        <f>FV((1+Premissas!$C$17)^(1/12)-1,Premissas!$C$23-B237,0,-E238)</f>
        <v>0</v>
      </c>
      <c r="G238" s="95">
        <v>6</v>
      </c>
      <c r="I238" s="54"/>
    </row>
    <row r="239" spans="2:9" s="38" customFormat="1" ht="14.5" outlineLevel="1">
      <c r="B239" s="54">
        <f t="shared" si="23"/>
        <v>228</v>
      </c>
      <c r="C239" s="55">
        <f>$C$11*(1+Premissas!$C$17)^(B239/12)-1</f>
        <v>532389.2936904222</v>
      </c>
      <c r="D239" s="88">
        <f t="shared" ref="D239:D250" si="26">D238</f>
        <v>5265.3408525091927</v>
      </c>
      <c r="E239" s="56">
        <f>IF(-Financiamento!I248-Investimentos!D239&gt;0,-Financiamento!I248-Investimentos!D239,0)</f>
        <v>0</v>
      </c>
      <c r="F239" s="93">
        <f>FV((1+Premissas!$C$17)^(1/12)-1,Premissas!$C$23-B238,0,-E239)</f>
        <v>0</v>
      </c>
      <c r="G239" s="95">
        <v>6</v>
      </c>
      <c r="I239" s="54"/>
    </row>
    <row r="240" spans="2:9" s="38" customFormat="1" ht="14.5" outlineLevel="1">
      <c r="B240" s="54">
        <f t="shared" si="23"/>
        <v>229</v>
      </c>
      <c r="C240" s="55">
        <f>$C$11*(1+Premissas!$C$17)^(B240/12)-1</f>
        <v>536308.32575225946</v>
      </c>
      <c r="D240" s="89">
        <f>D239*((1+Premissas!$C$15)*(1+Premissas!$C$12))</f>
        <v>5556.2509346103261</v>
      </c>
      <c r="E240" s="56">
        <f>IF(-Financiamento!I249-Investimentos!D240&gt;0,-Financiamento!I249-Investimentos!D240,0)</f>
        <v>0</v>
      </c>
      <c r="F240" s="93">
        <f>FV((1+Premissas!$C$17)^(1/12)-1,Premissas!$C$23-B239,0,-E240)</f>
        <v>0</v>
      </c>
      <c r="G240" s="95">
        <v>6</v>
      </c>
      <c r="I240" s="54"/>
    </row>
    <row r="241" spans="2:9" s="38" customFormat="1" ht="14.5" outlineLevel="1">
      <c r="B241" s="54">
        <f t="shared" si="23"/>
        <v>230</v>
      </c>
      <c r="C241" s="55">
        <f>$C$11*(1+Premissas!$C$17)^(B241/12)-1</f>
        <v>540256.2065975623</v>
      </c>
      <c r="D241" s="56">
        <f t="shared" si="26"/>
        <v>5556.2509346103261</v>
      </c>
      <c r="E241" s="56">
        <f>IF(-Financiamento!I250-Investimentos!D241&gt;0,-Financiamento!I250-Investimentos!D241,0)</f>
        <v>0</v>
      </c>
      <c r="F241" s="93">
        <f>FV((1+Premissas!$C$17)^(1/12)-1,Premissas!$C$23-B240,0,-E241)</f>
        <v>0</v>
      </c>
      <c r="G241" s="95">
        <v>6</v>
      </c>
      <c r="I241" s="54"/>
    </row>
    <row r="242" spans="2:9" s="38" customFormat="1" ht="14.5" outlineLevel="1">
      <c r="B242" s="54">
        <f t="shared" si="23"/>
        <v>231</v>
      </c>
      <c r="C242" s="55">
        <f>$C$11*(1+Premissas!$C$17)^(B242/12)-1</f>
        <v>544233.14858802932</v>
      </c>
      <c r="D242" s="56">
        <f t="shared" si="26"/>
        <v>5556.2509346103261</v>
      </c>
      <c r="E242" s="56">
        <f>IF(-Financiamento!I251-Investimentos!D242&gt;0,-Financiamento!I251-Investimentos!D242,0)</f>
        <v>0</v>
      </c>
      <c r="F242" s="93">
        <f>FV((1+Premissas!$C$17)^(1/12)-1,Premissas!$C$23-B241,0,-E242)</f>
        <v>0</v>
      </c>
      <c r="G242" s="95">
        <v>6</v>
      </c>
      <c r="I242" s="54"/>
    </row>
    <row r="243" spans="2:9" s="38" customFormat="1" ht="14.5" outlineLevel="1">
      <c r="B243" s="54">
        <f t="shared" si="23"/>
        <v>232</v>
      </c>
      <c r="C243" s="55">
        <f>$C$11*(1+Premissas!$C$17)^(B243/12)-1</f>
        <v>548239.36564859701</v>
      </c>
      <c r="D243" s="56">
        <f t="shared" si="26"/>
        <v>5556.2509346103261</v>
      </c>
      <c r="E243" s="56">
        <f>IF(-Financiamento!I252-Investimentos!D243&gt;0,-Financiamento!I252-Investimentos!D243,0)</f>
        <v>0</v>
      </c>
      <c r="F243" s="93">
        <f>FV((1+Premissas!$C$17)^(1/12)-1,Premissas!$C$23-B242,0,-E243)</f>
        <v>0</v>
      </c>
      <c r="G243" s="95">
        <v>6</v>
      </c>
      <c r="I243" s="54"/>
    </row>
    <row r="244" spans="2:9" s="38" customFormat="1" ht="14.5" outlineLevel="1">
      <c r="B244" s="54">
        <f t="shared" si="23"/>
        <v>233</v>
      </c>
      <c r="C244" s="55">
        <f>$C$11*(1+Premissas!$C$17)^(B244/12)-1</f>
        <v>552275.07327894645</v>
      </c>
      <c r="D244" s="56">
        <f t="shared" si="26"/>
        <v>5556.2509346103261</v>
      </c>
      <c r="E244" s="56">
        <f>IF(-Financiamento!I253-Investimentos!D244&gt;0,-Financiamento!I253-Investimentos!D244,0)</f>
        <v>0</v>
      </c>
      <c r="F244" s="93">
        <f>FV((1+Premissas!$C$17)^(1/12)-1,Premissas!$C$23-B243,0,-E244)</f>
        <v>0</v>
      </c>
      <c r="G244" s="95">
        <v>6</v>
      </c>
      <c r="I244" s="54"/>
    </row>
    <row r="245" spans="2:9" s="38" customFormat="1" ht="14.5" outlineLevel="1">
      <c r="B245" s="54">
        <f t="shared" si="23"/>
        <v>234</v>
      </c>
      <c r="C245" s="55">
        <f>$C$11*(1+Premissas!$C$17)^(B245/12)-1</f>
        <v>556340.4885650943</v>
      </c>
      <c r="D245" s="56">
        <f t="shared" si="26"/>
        <v>5556.2509346103261</v>
      </c>
      <c r="E245" s="56">
        <f>IF(-Financiamento!I254-Investimentos!D245&gt;0,-Financiamento!I254-Investimentos!D245,0)</f>
        <v>0</v>
      </c>
      <c r="F245" s="93">
        <f>FV((1+Premissas!$C$17)^(1/12)-1,Premissas!$C$23-B244,0,-E245)</f>
        <v>0</v>
      </c>
      <c r="G245" s="95">
        <v>6</v>
      </c>
      <c r="I245" s="54"/>
    </row>
    <row r="246" spans="2:9" s="38" customFormat="1" ht="14.5" outlineLevel="1">
      <c r="B246" s="54">
        <f t="shared" si="23"/>
        <v>235</v>
      </c>
      <c r="C246" s="55">
        <f>$C$11*(1+Premissas!$C$17)^(B246/12)-1</f>
        <v>560435.83019107208</v>
      </c>
      <c r="D246" s="56">
        <f t="shared" si="26"/>
        <v>5556.2509346103261</v>
      </c>
      <c r="E246" s="56">
        <f>IF(-Financiamento!I255-Investimentos!D246&gt;0,-Financiamento!I255-Investimentos!D246,0)</f>
        <v>0</v>
      </c>
      <c r="F246" s="93">
        <f>FV((1+Premissas!$C$17)^(1/12)-1,Premissas!$C$23-B245,0,-E246)</f>
        <v>0</v>
      </c>
      <c r="G246" s="95">
        <v>6</v>
      </c>
      <c r="I246" s="54"/>
    </row>
    <row r="247" spans="2:9" s="38" customFormat="1" ht="14.5" outlineLevel="1">
      <c r="B247" s="54">
        <f t="shared" si="23"/>
        <v>236</v>
      </c>
      <c r="C247" s="55">
        <f>$C$11*(1+Premissas!$C$17)^(B247/12)-1</f>
        <v>564561.31845068827</v>
      </c>
      <c r="D247" s="56">
        <f t="shared" si="26"/>
        <v>5556.2509346103261</v>
      </c>
      <c r="E247" s="56">
        <f>IF(-Financiamento!I256-Investimentos!D247&gt;0,-Financiamento!I256-Investimentos!D247,0)</f>
        <v>0</v>
      </c>
      <c r="F247" s="93">
        <f>FV((1+Premissas!$C$17)^(1/12)-1,Premissas!$C$23-B246,0,-E247)</f>
        <v>0</v>
      </c>
      <c r="G247" s="95">
        <v>6</v>
      </c>
      <c r="I247" s="54"/>
    </row>
    <row r="248" spans="2:9" s="38" customFormat="1" ht="14.5" outlineLevel="1">
      <c r="B248" s="54">
        <f t="shared" si="23"/>
        <v>237</v>
      </c>
      <c r="C248" s="55">
        <f>$C$11*(1+Premissas!$C$17)^(B248/12)-1</f>
        <v>568717.17525937769</v>
      </c>
      <c r="D248" s="56">
        <f t="shared" si="26"/>
        <v>5556.2509346103261</v>
      </c>
      <c r="E248" s="56">
        <f>IF(-Financiamento!I257-Investimentos!D248&gt;0,-Financiamento!I257-Investimentos!D248,0)</f>
        <v>0</v>
      </c>
      <c r="F248" s="93">
        <f>FV((1+Premissas!$C$17)^(1/12)-1,Premissas!$C$23-B247,0,-E248)</f>
        <v>0</v>
      </c>
      <c r="G248" s="95">
        <v>6</v>
      </c>
      <c r="I248" s="54"/>
    </row>
    <row r="249" spans="2:9" s="38" customFormat="1" ht="14.5" outlineLevel="1">
      <c r="B249" s="54">
        <f t="shared" si="23"/>
        <v>238</v>
      </c>
      <c r="C249" s="55">
        <f>$C$11*(1+Premissas!$C$17)^(B249/12)-1</f>
        <v>572903.6241661401</v>
      </c>
      <c r="D249" s="56">
        <f t="shared" si="26"/>
        <v>5556.2509346103261</v>
      </c>
      <c r="E249" s="56">
        <f>IF(-Financiamento!I258-Investimentos!D249&gt;0,-Financiamento!I258-Investimentos!D249,0)</f>
        <v>0</v>
      </c>
      <c r="F249" s="93">
        <f>FV((1+Premissas!$C$17)^(1/12)-1,Premissas!$C$23-B248,0,-E249)</f>
        <v>0</v>
      </c>
      <c r="G249" s="95">
        <v>6</v>
      </c>
      <c r="I249" s="54"/>
    </row>
    <row r="250" spans="2:9" s="38" customFormat="1" ht="14.5" outlineLevel="1">
      <c r="B250" s="54">
        <f t="shared" si="23"/>
        <v>239</v>
      </c>
      <c r="C250" s="55">
        <f>$C$11*(1+Premissas!$C$17)^(B250/12)-1</f>
        <v>577120.89036556415</v>
      </c>
      <c r="D250" s="56">
        <f t="shared" si="26"/>
        <v>5556.2509346103261</v>
      </c>
      <c r="E250" s="56">
        <f>IF(-Financiamento!I259-Investimentos!D250&gt;0,-Financiamento!I259-Investimentos!D250,0)</f>
        <v>0</v>
      </c>
      <c r="F250" s="93">
        <f>FV((1+Premissas!$C$17)^(1/12)-1,Premissas!$C$23-B249,0,-E250)</f>
        <v>0</v>
      </c>
      <c r="G250" s="95">
        <v>6</v>
      </c>
      <c r="I250" s="54"/>
    </row>
    <row r="251" spans="2:9" s="38" customFormat="1" ht="14.5" outlineLevel="1">
      <c r="B251" s="54">
        <f t="shared" si="23"/>
        <v>240</v>
      </c>
      <c r="C251" s="55">
        <f>$C$11*(1+Premissas!$C$17)^(B251/12)-1</f>
        <v>581369.2007099411</v>
      </c>
      <c r="D251" s="88">
        <f t="shared" ref="D251:D262" si="27">D250</f>
        <v>5556.2509346103261</v>
      </c>
      <c r="E251" s="56">
        <f>IF(-Financiamento!I260-Investimentos!D251&gt;0,-Financiamento!I260-Investimentos!D251,0)</f>
        <v>0</v>
      </c>
      <c r="F251" s="93">
        <f>FV((1+Premissas!$C$17)^(1/12)-1,Premissas!$C$23-B250,0,-E251)</f>
        <v>0</v>
      </c>
      <c r="G251" s="95">
        <v>6</v>
      </c>
      <c r="I251" s="54"/>
    </row>
    <row r="252" spans="2:9" s="38" customFormat="1" ht="14.5" outlineLevel="1">
      <c r="B252" s="54">
        <f t="shared" si="23"/>
        <v>241</v>
      </c>
      <c r="C252" s="55">
        <f>$C$11*(1+Premissas!$C$17)^(B252/12)-1</f>
        <v>585648.78372146725</v>
      </c>
      <c r="D252" s="89">
        <f>D251*((1+Premissas!$C$15)*(1+Premissas!$C$12))</f>
        <v>5863.2337987475466</v>
      </c>
      <c r="E252" s="56">
        <f>IF(-Financiamento!I261-Investimentos!D252&gt;0,-Financiamento!I261-Investimentos!D252,0)</f>
        <v>0</v>
      </c>
      <c r="F252" s="93">
        <f>FV((1+Premissas!$C$17)^(1/12)-1,Premissas!$C$23-B251,0,-E252)</f>
        <v>0</v>
      </c>
      <c r="G252" s="95">
        <v>6</v>
      </c>
      <c r="I252" s="54"/>
    </row>
    <row r="253" spans="2:9" s="38" customFormat="1" ht="14.5" outlineLevel="1">
      <c r="B253" s="54">
        <f t="shared" si="23"/>
        <v>242</v>
      </c>
      <c r="C253" s="55">
        <f>$C$11*(1+Premissas!$C$17)^(B253/12)-1</f>
        <v>589959.86960453796</v>
      </c>
      <c r="D253" s="56">
        <f t="shared" si="27"/>
        <v>5863.2337987475466</v>
      </c>
      <c r="E253" s="56">
        <f>IF(-Financiamento!I262-Investimentos!D253&gt;0,-Financiamento!I262-Investimentos!D253,0)</f>
        <v>0</v>
      </c>
      <c r="F253" s="93">
        <f>FV((1+Premissas!$C$17)^(1/12)-1,Premissas!$C$23-B252,0,-E253)</f>
        <v>0</v>
      </c>
      <c r="G253" s="95">
        <v>6</v>
      </c>
      <c r="I253" s="54"/>
    </row>
    <row r="254" spans="2:9" s="38" customFormat="1" ht="14.5" outlineLevel="1">
      <c r="B254" s="54">
        <f t="shared" si="23"/>
        <v>243</v>
      </c>
      <c r="C254" s="55">
        <f>$C$11*(1+Premissas!$C$17)^(B254/12)-1</f>
        <v>594302.69025812799</v>
      </c>
      <c r="D254" s="56">
        <f t="shared" si="27"/>
        <v>5863.2337987475466</v>
      </c>
      <c r="E254" s="56">
        <f>IF(-Financiamento!I263-Investimentos!D254&gt;0,-Financiamento!I263-Investimentos!D254,0)</f>
        <v>0</v>
      </c>
      <c r="F254" s="93">
        <f>FV((1+Premissas!$C$17)^(1/12)-1,Premissas!$C$23-B253,0,-E254)</f>
        <v>0</v>
      </c>
      <c r="G254" s="95">
        <v>6</v>
      </c>
      <c r="I254" s="54"/>
    </row>
    <row r="255" spans="2:9" s="38" customFormat="1" ht="14.5" outlineLevel="1">
      <c r="B255" s="54">
        <f t="shared" si="23"/>
        <v>244</v>
      </c>
      <c r="C255" s="55">
        <f>$C$11*(1+Premissas!$C$17)^(B255/12)-1</f>
        <v>598677.47928826802</v>
      </c>
      <c r="D255" s="56">
        <f t="shared" si="27"/>
        <v>5863.2337987475466</v>
      </c>
      <c r="E255" s="56">
        <f>IF(-Financiamento!I264-Investimentos!D255&gt;0,-Financiamento!I264-Investimentos!D255,0)</f>
        <v>0</v>
      </c>
      <c r="F255" s="93">
        <f>FV((1+Premissas!$C$17)^(1/12)-1,Premissas!$C$23-B254,0,-E255)</f>
        <v>0</v>
      </c>
      <c r="G255" s="95">
        <v>6</v>
      </c>
      <c r="I255" s="54"/>
    </row>
    <row r="256" spans="2:9" s="38" customFormat="1" ht="14.5" outlineLevel="1">
      <c r="B256" s="54">
        <f t="shared" si="23"/>
        <v>245</v>
      </c>
      <c r="C256" s="55">
        <f>$C$11*(1+Premissas!$C$17)^(B256/12)-1</f>
        <v>603084.47202060954</v>
      </c>
      <c r="D256" s="56">
        <f t="shared" si="27"/>
        <v>5863.2337987475466</v>
      </c>
      <c r="E256" s="56">
        <f>IF(-Financiamento!I265-Investimentos!D256&gt;0,-Financiamento!I265-Investimentos!D256,0)</f>
        <v>0</v>
      </c>
      <c r="F256" s="93">
        <f>FV((1+Premissas!$C$17)^(1/12)-1,Premissas!$C$23-B255,0,-E256)</f>
        <v>0</v>
      </c>
      <c r="G256" s="95">
        <v>6</v>
      </c>
      <c r="I256" s="54"/>
    </row>
    <row r="257" spans="2:9" s="38" customFormat="1" ht="14.5" outlineLevel="1">
      <c r="B257" s="54">
        <f t="shared" si="23"/>
        <v>246</v>
      </c>
      <c r="C257" s="55">
        <f>$C$11*(1+Premissas!$C$17)^(B257/12)-1</f>
        <v>607523.90551308321</v>
      </c>
      <c r="D257" s="56">
        <f t="shared" si="27"/>
        <v>5863.2337987475466</v>
      </c>
      <c r="E257" s="56">
        <f>IF(-Financiamento!I266-Investimentos!D257&gt;0,-Financiamento!I266-Investimentos!D257,0)</f>
        <v>0</v>
      </c>
      <c r="F257" s="93">
        <f>FV((1+Premissas!$C$17)^(1/12)-1,Premissas!$C$23-B256,0,-E257)</f>
        <v>0</v>
      </c>
      <c r="G257" s="95">
        <v>6</v>
      </c>
      <c r="I257" s="54"/>
    </row>
    <row r="258" spans="2:9" s="38" customFormat="1" ht="14.5" outlineLevel="1">
      <c r="B258" s="54">
        <f t="shared" si="23"/>
        <v>247</v>
      </c>
      <c r="C258" s="55">
        <f>$C$11*(1+Premissas!$C$17)^(B258/12)-1</f>
        <v>611996.01856865082</v>
      </c>
      <c r="D258" s="56">
        <f t="shared" si="27"/>
        <v>5863.2337987475466</v>
      </c>
      <c r="E258" s="56">
        <f>IF(-Financiamento!I267-Investimentos!D258&gt;0,-Financiamento!I267-Investimentos!D258,0)</f>
        <v>0</v>
      </c>
      <c r="F258" s="93">
        <f>FV((1+Premissas!$C$17)^(1/12)-1,Premissas!$C$23-B257,0,-E258)</f>
        <v>0</v>
      </c>
      <c r="G258" s="95">
        <v>6</v>
      </c>
      <c r="I258" s="54"/>
    </row>
    <row r="259" spans="2:9" s="38" customFormat="1" ht="14.5" outlineLevel="1">
      <c r="B259" s="54">
        <f t="shared" si="23"/>
        <v>248</v>
      </c>
      <c r="C259" s="55">
        <f>$C$11*(1+Premissas!$C$17)^(B259/12)-1</f>
        <v>616501.05174815177</v>
      </c>
      <c r="D259" s="56">
        <f t="shared" si="27"/>
        <v>5863.2337987475466</v>
      </c>
      <c r="E259" s="56">
        <f>IF(-Financiamento!I268-Investimentos!D259&gt;0,-Financiamento!I268-Investimentos!D259,0)</f>
        <v>0</v>
      </c>
      <c r="F259" s="93">
        <f>FV((1+Premissas!$C$17)^(1/12)-1,Premissas!$C$23-B258,0,-E259)</f>
        <v>0</v>
      </c>
      <c r="G259" s="95">
        <v>6</v>
      </c>
      <c r="I259" s="54"/>
    </row>
    <row r="260" spans="2:9" s="38" customFormat="1" ht="14.5" outlineLevel="1">
      <c r="B260" s="54">
        <f t="shared" si="23"/>
        <v>249</v>
      </c>
      <c r="C260" s="55">
        <f>$C$11*(1+Premissas!$C$17)^(B260/12)-1</f>
        <v>621039.24738324038</v>
      </c>
      <c r="D260" s="56">
        <f t="shared" si="27"/>
        <v>5863.2337987475466</v>
      </c>
      <c r="E260" s="56">
        <f>IF(-Financiamento!I269-Investimentos!D260&gt;0,-Financiamento!I269-Investimentos!D260,0)</f>
        <v>0</v>
      </c>
      <c r="F260" s="93">
        <f>FV((1+Premissas!$C$17)^(1/12)-1,Premissas!$C$23-B259,0,-E260)</f>
        <v>0</v>
      </c>
      <c r="G260" s="95">
        <v>6</v>
      </c>
      <c r="I260" s="54"/>
    </row>
    <row r="261" spans="2:9" s="38" customFormat="1" ht="14.5" outlineLevel="1">
      <c r="B261" s="54">
        <f t="shared" si="23"/>
        <v>250</v>
      </c>
      <c r="C261" s="55">
        <f>$C$11*(1+Premissas!$C$17)^(B261/12)-1</f>
        <v>625610.84958942491</v>
      </c>
      <c r="D261" s="56">
        <f t="shared" si="27"/>
        <v>5863.2337987475466</v>
      </c>
      <c r="E261" s="56">
        <f>IF(-Financiamento!I270-Investimentos!D261&gt;0,-Financiamento!I270-Investimentos!D261,0)</f>
        <v>0</v>
      </c>
      <c r="F261" s="93">
        <f>FV((1+Premissas!$C$17)^(1/12)-1,Premissas!$C$23-B260,0,-E261)</f>
        <v>0</v>
      </c>
      <c r="G261" s="95">
        <v>6</v>
      </c>
      <c r="I261" s="54"/>
    </row>
    <row r="262" spans="2:9" s="38" customFormat="1" ht="14.5" outlineLevel="1">
      <c r="B262" s="54">
        <f t="shared" si="23"/>
        <v>251</v>
      </c>
      <c r="C262" s="55">
        <f>$C$11*(1+Premissas!$C$17)^(B262/12)-1</f>
        <v>630216.10427919601</v>
      </c>
      <c r="D262" s="56">
        <f t="shared" si="27"/>
        <v>5863.2337987475466</v>
      </c>
      <c r="E262" s="56">
        <f>IF(-Financiamento!I271-Investimentos!D262&gt;0,-Financiamento!I271-Investimentos!D262,0)</f>
        <v>0</v>
      </c>
      <c r="F262" s="93">
        <f>FV((1+Premissas!$C$17)^(1/12)-1,Premissas!$C$23-B261,0,-E262)</f>
        <v>0</v>
      </c>
      <c r="G262" s="95">
        <v>6</v>
      </c>
      <c r="I262" s="54"/>
    </row>
    <row r="263" spans="2:9" s="38" customFormat="1" ht="14.5" outlineLevel="1">
      <c r="B263" s="54">
        <f t="shared" si="23"/>
        <v>252</v>
      </c>
      <c r="C263" s="55">
        <f>$C$11*(1+Premissas!$C$17)^(B263/12)-1</f>
        <v>634855.25917525578</v>
      </c>
      <c r="D263" s="88">
        <f t="shared" ref="D263:D274" si="28">D262</f>
        <v>5863.2337987475466</v>
      </c>
      <c r="E263" s="56">
        <f>IF(-Financiamento!I272-Investimentos!D263&gt;0,-Financiamento!I272-Investimentos!D263,0)</f>
        <v>0</v>
      </c>
      <c r="F263" s="93">
        <f>FV((1+Premissas!$C$17)^(1/12)-1,Premissas!$C$23-B262,0,-E263)</f>
        <v>0</v>
      </c>
      <c r="G263" s="95">
        <v>6</v>
      </c>
      <c r="I263" s="54"/>
    </row>
    <row r="264" spans="2:9" s="38" customFormat="1" ht="14.5" outlineLevel="1">
      <c r="B264" s="54">
        <f t="shared" si="23"/>
        <v>253</v>
      </c>
      <c r="C264" s="55">
        <f>$C$11*(1+Premissas!$C$17)^(B264/12)-1</f>
        <v>639528.56382384233</v>
      </c>
      <c r="D264" s="89">
        <f>D263*((1+Premissas!$C$15)*(1+Premissas!$C$12))</f>
        <v>6187.1774661283489</v>
      </c>
      <c r="E264" s="56">
        <f>IF(-Financiamento!I273-Investimentos!D264&gt;0,-Financiamento!I273-Investimentos!D264,0)</f>
        <v>0</v>
      </c>
      <c r="F264" s="93">
        <f>FV((1+Premissas!$C$17)^(1/12)-1,Premissas!$C$23-B263,0,-E264)</f>
        <v>0</v>
      </c>
      <c r="G264" s="95">
        <v>6</v>
      </c>
      <c r="I264" s="54"/>
    </row>
    <row r="265" spans="2:9" s="38" customFormat="1" ht="14.5" outlineLevel="1">
      <c r="B265" s="54">
        <f t="shared" si="23"/>
        <v>254</v>
      </c>
      <c r="C265" s="55">
        <f>$C$11*(1+Premissas!$C$17)^(B265/12)-1</f>
        <v>644236.26960815559</v>
      </c>
      <c r="D265" s="56">
        <f t="shared" si="28"/>
        <v>6187.1774661283489</v>
      </c>
      <c r="E265" s="56">
        <f>IF(-Financiamento!I274-Investimentos!D265&gt;0,-Financiamento!I274-Investimentos!D265,0)</f>
        <v>0</v>
      </c>
      <c r="F265" s="93">
        <f>FV((1+Premissas!$C$17)^(1/12)-1,Premissas!$C$23-B264,0,-E265)</f>
        <v>0</v>
      </c>
      <c r="G265" s="95">
        <v>6</v>
      </c>
      <c r="I265" s="54"/>
    </row>
    <row r="266" spans="2:9" s="38" customFormat="1" ht="14.5" outlineLevel="1">
      <c r="B266" s="54">
        <f t="shared" si="23"/>
        <v>255</v>
      </c>
      <c r="C266" s="55">
        <f>$C$11*(1+Premissas!$C$17)^(B266/12)-1</f>
        <v>648978.62976187584</v>
      </c>
      <c r="D266" s="56">
        <f t="shared" si="28"/>
        <v>6187.1774661283489</v>
      </c>
      <c r="E266" s="56">
        <f>IF(-Financiamento!I275-Investimentos!D266&gt;0,-Financiamento!I275-Investimentos!D266,0)</f>
        <v>0</v>
      </c>
      <c r="F266" s="93">
        <f>FV((1+Premissas!$C$17)^(1/12)-1,Premissas!$C$23-B265,0,-E266)</f>
        <v>0</v>
      </c>
      <c r="G266" s="95">
        <v>6</v>
      </c>
      <c r="I266" s="54"/>
    </row>
    <row r="267" spans="2:9" s="38" customFormat="1" ht="14.5" outlineLevel="1">
      <c r="B267" s="54">
        <f t="shared" si="23"/>
        <v>256</v>
      </c>
      <c r="C267" s="55">
        <f>$C$11*(1+Premissas!$C$17)^(B267/12)-1</f>
        <v>653755.89938278869</v>
      </c>
      <c r="D267" s="56">
        <f t="shared" si="28"/>
        <v>6187.1774661283489</v>
      </c>
      <c r="E267" s="56">
        <f>IF(-Financiamento!I276-Investimentos!D267&gt;0,-Financiamento!I276-Investimentos!D267,0)</f>
        <v>0</v>
      </c>
      <c r="F267" s="93">
        <f>FV((1+Premissas!$C$17)^(1/12)-1,Premissas!$C$23-B266,0,-E267)</f>
        <v>0</v>
      </c>
      <c r="G267" s="95">
        <v>6</v>
      </c>
      <c r="I267" s="54"/>
    </row>
    <row r="268" spans="2:9" s="38" customFormat="1" ht="14.5" outlineLevel="1">
      <c r="B268" s="54">
        <f t="shared" si="23"/>
        <v>257</v>
      </c>
      <c r="C268" s="55">
        <f>$C$11*(1+Premissas!$C$17)^(B268/12)-1</f>
        <v>658568.33544650569</v>
      </c>
      <c r="D268" s="56">
        <f t="shared" si="28"/>
        <v>6187.1774661283489</v>
      </c>
      <c r="E268" s="56">
        <f>IF(-Financiamento!I277-Investimentos!D268&gt;0,-Financiamento!I277-Investimentos!D268,0)</f>
        <v>0</v>
      </c>
      <c r="F268" s="93">
        <f>FV((1+Premissas!$C$17)^(1/12)-1,Premissas!$C$23-B267,0,-E268)</f>
        <v>0</v>
      </c>
      <c r="G268" s="95">
        <v>6</v>
      </c>
      <c r="I268" s="54"/>
    </row>
    <row r="269" spans="2:9" s="38" customFormat="1" ht="14.5" outlineLevel="1">
      <c r="B269" s="54">
        <f t="shared" ref="B269:B332" si="29">B268+1</f>
        <v>258</v>
      </c>
      <c r="C269" s="55">
        <f>$C$11*(1+Premissas!$C$17)^(B269/12)-1</f>
        <v>663416.1968202868</v>
      </c>
      <c r="D269" s="56">
        <f t="shared" si="28"/>
        <v>6187.1774661283489</v>
      </c>
      <c r="E269" s="56">
        <f>IF(-Financiamento!I278-Investimentos!D269&gt;0,-Financiamento!I278-Investimentos!D269,0)</f>
        <v>0</v>
      </c>
      <c r="F269" s="93">
        <f>FV((1+Premissas!$C$17)^(1/12)-1,Premissas!$C$23-B268,0,-E269)</f>
        <v>0</v>
      </c>
      <c r="G269" s="95">
        <v>6</v>
      </c>
      <c r="I269" s="54"/>
    </row>
    <row r="270" spans="2:9" s="38" customFormat="1" ht="14.5" outlineLevel="1">
      <c r="B270" s="54">
        <f t="shared" si="29"/>
        <v>259</v>
      </c>
      <c r="C270" s="55">
        <f>$C$11*(1+Premissas!$C$17)^(B270/12)-1</f>
        <v>668299.74427696678</v>
      </c>
      <c r="D270" s="56">
        <f t="shared" si="28"/>
        <v>6187.1774661283489</v>
      </c>
      <c r="E270" s="56">
        <f>IF(-Financiamento!I279-Investimentos!D270&gt;0,-Financiamento!I279-Investimentos!D270,0)</f>
        <v>0</v>
      </c>
      <c r="F270" s="93">
        <f>FV((1+Premissas!$C$17)^(1/12)-1,Premissas!$C$23-B269,0,-E270)</f>
        <v>0</v>
      </c>
      <c r="G270" s="95">
        <v>6</v>
      </c>
      <c r="I270" s="54"/>
    </row>
    <row r="271" spans="2:9" s="38" customFormat="1" ht="14.5" outlineLevel="1">
      <c r="B271" s="54">
        <f t="shared" si="29"/>
        <v>260</v>
      </c>
      <c r="C271" s="55">
        <f>$C$11*(1+Premissas!$C$17)^(B271/12)-1</f>
        <v>673219.24050898163</v>
      </c>
      <c r="D271" s="56">
        <f t="shared" si="28"/>
        <v>6187.1774661283489</v>
      </c>
      <c r="E271" s="56">
        <f>IF(-Financiamento!I280-Investimentos!D271&gt;0,-Financiamento!I280-Investimentos!D271,0)</f>
        <v>0</v>
      </c>
      <c r="F271" s="93">
        <f>FV((1+Premissas!$C$17)^(1/12)-1,Premissas!$C$23-B270,0,-E271)</f>
        <v>0</v>
      </c>
      <c r="G271" s="95">
        <v>6</v>
      </c>
      <c r="I271" s="54"/>
    </row>
    <row r="272" spans="2:9" s="38" customFormat="1" ht="14.5" outlineLevel="1">
      <c r="B272" s="54">
        <f t="shared" si="29"/>
        <v>261</v>
      </c>
      <c r="C272" s="55">
        <f>$C$11*(1+Premissas!$C$17)^(B272/12)-1</f>
        <v>678174.95014249871</v>
      </c>
      <c r="D272" s="56">
        <f t="shared" si="28"/>
        <v>6187.1774661283489</v>
      </c>
      <c r="E272" s="56">
        <f>IF(-Financiamento!I281-Investimentos!D272&gt;0,-Financiamento!I281-Investimentos!D272,0)</f>
        <v>0</v>
      </c>
      <c r="F272" s="93">
        <f>FV((1+Premissas!$C$17)^(1/12)-1,Premissas!$C$23-B271,0,-E272)</f>
        <v>0</v>
      </c>
      <c r="G272" s="95">
        <v>6</v>
      </c>
      <c r="I272" s="54"/>
    </row>
    <row r="273" spans="2:9" s="38" customFormat="1" ht="14.5" outlineLevel="1">
      <c r="B273" s="54">
        <f t="shared" si="29"/>
        <v>262</v>
      </c>
      <c r="C273" s="55">
        <f>$C$11*(1+Premissas!$C$17)^(B273/12)-1</f>
        <v>683167.13975165202</v>
      </c>
      <c r="D273" s="56">
        <f t="shared" si="28"/>
        <v>6187.1774661283489</v>
      </c>
      <c r="E273" s="56">
        <f>IF(-Financiamento!I282-Investimentos!D273&gt;0,-Financiamento!I282-Investimentos!D273,0)</f>
        <v>0</v>
      </c>
      <c r="F273" s="93">
        <f>FV((1+Premissas!$C$17)^(1/12)-1,Premissas!$C$23-B272,0,-E273)</f>
        <v>0</v>
      </c>
      <c r="G273" s="95">
        <v>6</v>
      </c>
      <c r="I273" s="54"/>
    </row>
    <row r="274" spans="2:9" s="38" customFormat="1" ht="14.5" outlineLevel="1">
      <c r="B274" s="54">
        <f t="shared" si="29"/>
        <v>263</v>
      </c>
      <c r="C274" s="55">
        <f>$C$11*(1+Premissas!$C$17)^(B274/12)-1</f>
        <v>688196.07787288213</v>
      </c>
      <c r="D274" s="56">
        <f t="shared" si="28"/>
        <v>6187.1774661283489</v>
      </c>
      <c r="E274" s="56">
        <f>IF(-Financiamento!I283-Investimentos!D274&gt;0,-Financiamento!I283-Investimentos!D274,0)</f>
        <v>0</v>
      </c>
      <c r="F274" s="93">
        <f>FV((1+Premissas!$C$17)^(1/12)-1,Premissas!$C$23-B273,0,-E274)</f>
        <v>0</v>
      </c>
      <c r="G274" s="95">
        <v>6</v>
      </c>
      <c r="I274" s="54"/>
    </row>
    <row r="275" spans="2:9" s="38" customFormat="1" ht="14.5" outlineLevel="1">
      <c r="B275" s="54">
        <f t="shared" si="29"/>
        <v>264</v>
      </c>
      <c r="C275" s="55">
        <f>$C$11*(1+Premissas!$C$17)^(B275/12)-1</f>
        <v>693262.03501937923</v>
      </c>
      <c r="D275" s="88">
        <f t="shared" ref="D275:D286" si="30">D274</f>
        <v>6187.1774661283489</v>
      </c>
      <c r="E275" s="56">
        <f>IF(-Financiamento!I284-Investimentos!D275&gt;0,-Financiamento!I284-Investimentos!D275,0)</f>
        <v>0</v>
      </c>
      <c r="F275" s="93">
        <f>FV((1+Premissas!$C$17)^(1/12)-1,Premissas!$C$23-B274,0,-E275)</f>
        <v>0</v>
      </c>
      <c r="G275" s="95">
        <v>6</v>
      </c>
      <c r="I275" s="54"/>
    </row>
    <row r="276" spans="2:9" s="38" customFormat="1" ht="14.5" outlineLevel="1">
      <c r="B276" s="54">
        <f t="shared" si="29"/>
        <v>265</v>
      </c>
      <c r="C276" s="55">
        <f>$C$11*(1+Premissas!$C$17)^(B276/12)-1</f>
        <v>698365.28369563597</v>
      </c>
      <c r="D276" s="89">
        <f>D275*((1+Premissas!$C$15)*(1+Premissas!$C$12))</f>
        <v>6529.0190211319405</v>
      </c>
      <c r="E276" s="56">
        <f>IF(-Financiamento!I285-Investimentos!D276&gt;0,-Financiamento!I285-Investimentos!D276,0)</f>
        <v>0</v>
      </c>
      <c r="F276" s="93">
        <f>FV((1+Premissas!$C$17)^(1/12)-1,Premissas!$C$23-B275,0,-E276)</f>
        <v>0</v>
      </c>
      <c r="G276" s="95">
        <v>6</v>
      </c>
      <c r="I276" s="54"/>
    </row>
    <row r="277" spans="2:9" s="38" customFormat="1" ht="14.5" outlineLevel="1">
      <c r="B277" s="54">
        <f t="shared" si="29"/>
        <v>266</v>
      </c>
      <c r="C277" s="55">
        <f>$C$11*(1+Premissas!$C$17)^(B277/12)-1</f>
        <v>703506.09841210581</v>
      </c>
      <c r="D277" s="56">
        <f t="shared" si="30"/>
        <v>6529.0190211319405</v>
      </c>
      <c r="E277" s="56">
        <f>IF(-Financiamento!I286-Investimentos!D277&gt;0,-Financiamento!I286-Investimentos!D277,0)</f>
        <v>0</v>
      </c>
      <c r="F277" s="93">
        <f>FV((1+Premissas!$C$17)^(1/12)-1,Premissas!$C$23-B276,0,-E277)</f>
        <v>0</v>
      </c>
      <c r="G277" s="95">
        <v>6</v>
      </c>
      <c r="I277" s="54"/>
    </row>
    <row r="278" spans="2:9" s="38" customFormat="1" ht="14.5" outlineLevel="1">
      <c r="B278" s="54">
        <f t="shared" si="29"/>
        <v>267</v>
      </c>
      <c r="C278" s="55">
        <f>$C$11*(1+Premissas!$C$17)^(B278/12)-1</f>
        <v>708684.75569996855</v>
      </c>
      <c r="D278" s="56">
        <f t="shared" si="30"/>
        <v>6529.0190211319405</v>
      </c>
      <c r="E278" s="56">
        <f>IF(-Financiamento!I287-Investimentos!D278&gt;0,-Financiamento!I287-Investimentos!D278,0)</f>
        <v>0</v>
      </c>
      <c r="F278" s="93">
        <f>FV((1+Premissas!$C$17)^(1/12)-1,Premissas!$C$23-B277,0,-E278)</f>
        <v>0</v>
      </c>
      <c r="G278" s="95">
        <v>6</v>
      </c>
      <c r="I278" s="54"/>
    </row>
    <row r="279" spans="2:9" s="38" customFormat="1" ht="14.5" outlineLevel="1">
      <c r="B279" s="54">
        <f t="shared" si="29"/>
        <v>268</v>
      </c>
      <c r="C279" s="55">
        <f>$C$11*(1+Premissas!$C$17)^(B279/12)-1</f>
        <v>713901.53412600537</v>
      </c>
      <c r="D279" s="56">
        <f t="shared" si="30"/>
        <v>6529.0190211319405</v>
      </c>
      <c r="E279" s="56">
        <f>IF(-Financiamento!I288-Investimentos!D279&gt;0,-Financiamento!I288-Investimentos!D279,0)</f>
        <v>0</v>
      </c>
      <c r="F279" s="93">
        <f>FV((1+Premissas!$C$17)^(1/12)-1,Premissas!$C$23-B278,0,-E279)</f>
        <v>0</v>
      </c>
      <c r="G279" s="95">
        <v>6</v>
      </c>
      <c r="I279" s="54"/>
    </row>
    <row r="280" spans="2:9" s="38" customFormat="1" ht="14.5" outlineLevel="1">
      <c r="B280" s="54">
        <f t="shared" si="29"/>
        <v>269</v>
      </c>
      <c r="C280" s="55">
        <f>$C$11*(1+Premissas!$C$17)^(B280/12)-1</f>
        <v>719156.71430758433</v>
      </c>
      <c r="D280" s="56">
        <f t="shared" si="30"/>
        <v>6529.0190211319405</v>
      </c>
      <c r="E280" s="56">
        <f>IF(-Financiamento!I289-Investimentos!D280&gt;0,-Financiamento!I289-Investimentos!D280,0)</f>
        <v>0</v>
      </c>
      <c r="F280" s="93">
        <f>FV((1+Premissas!$C$17)^(1/12)-1,Premissas!$C$23-B279,0,-E280)</f>
        <v>0</v>
      </c>
      <c r="G280" s="95">
        <v>6</v>
      </c>
      <c r="I280" s="54"/>
    </row>
    <row r="281" spans="2:9" s="38" customFormat="1" ht="14.5" outlineLevel="1">
      <c r="B281" s="54">
        <f t="shared" si="29"/>
        <v>270</v>
      </c>
      <c r="C281" s="55">
        <f>$C$11*(1+Premissas!$C$17)^(B281/12)-1</f>
        <v>724450.57892775314</v>
      </c>
      <c r="D281" s="56">
        <f t="shared" si="30"/>
        <v>6529.0190211319405</v>
      </c>
      <c r="E281" s="56">
        <f>IF(-Financiamento!I290-Investimentos!D281&gt;0,-Financiamento!I290-Investimentos!D281,0)</f>
        <v>0</v>
      </c>
      <c r="F281" s="93">
        <f>FV((1+Premissas!$C$17)^(1/12)-1,Premissas!$C$23-B280,0,-E281)</f>
        <v>0</v>
      </c>
      <c r="G281" s="95">
        <v>6</v>
      </c>
      <c r="I281" s="54"/>
    </row>
    <row r="282" spans="2:9" s="38" customFormat="1" ht="14.5" outlineLevel="1">
      <c r="B282" s="54">
        <f t="shared" si="29"/>
        <v>271</v>
      </c>
      <c r="C282" s="55">
        <f>$C$11*(1+Premissas!$C$17)^(B282/12)-1</f>
        <v>729783.41275044775</v>
      </c>
      <c r="D282" s="56">
        <f t="shared" si="30"/>
        <v>6529.0190211319405</v>
      </c>
      <c r="E282" s="56">
        <f>IF(-Financiamento!I291-Investimentos!D282&gt;0,-Financiamento!I291-Investimentos!D282,0)</f>
        <v>0</v>
      </c>
      <c r="F282" s="93">
        <f>FV((1+Premissas!$C$17)^(1/12)-1,Premissas!$C$23-B281,0,-E282)</f>
        <v>0</v>
      </c>
      <c r="G282" s="95">
        <v>6</v>
      </c>
      <c r="I282" s="54"/>
    </row>
    <row r="283" spans="2:9" s="38" customFormat="1" ht="14.5" outlineLevel="1">
      <c r="B283" s="54">
        <f t="shared" si="29"/>
        <v>272</v>
      </c>
      <c r="C283" s="55">
        <f>$C$11*(1+Premissas!$C$17)^(B283/12)-1</f>
        <v>735155.50263580796</v>
      </c>
      <c r="D283" s="56">
        <f t="shared" si="30"/>
        <v>6529.0190211319405</v>
      </c>
      <c r="E283" s="56">
        <f>IF(-Financiamento!I292-Investimentos!D283&gt;0,-Financiamento!I292-Investimentos!D283,0)</f>
        <v>0</v>
      </c>
      <c r="F283" s="93">
        <f>FV((1+Premissas!$C$17)^(1/12)-1,Premissas!$C$23-B282,0,-E283)</f>
        <v>0</v>
      </c>
      <c r="G283" s="95">
        <v>6</v>
      </c>
      <c r="I283" s="54"/>
    </row>
    <row r="284" spans="2:9" s="38" customFormat="1" ht="14.5" outlineLevel="1">
      <c r="B284" s="54">
        <f t="shared" si="29"/>
        <v>273</v>
      </c>
      <c r="C284" s="55">
        <f>$C$11*(1+Premissas!$C$17)^(B284/12)-1</f>
        <v>740567.13755560853</v>
      </c>
      <c r="D284" s="56">
        <f t="shared" si="30"/>
        <v>6529.0190211319405</v>
      </c>
      <c r="E284" s="56">
        <f>IF(-Financiamento!I293-Investimentos!D284&gt;0,-Financiamento!I293-Investimentos!D284,0)</f>
        <v>0</v>
      </c>
      <c r="F284" s="93">
        <f>FV((1+Premissas!$C$17)^(1/12)-1,Premissas!$C$23-B283,0,-E284)</f>
        <v>0</v>
      </c>
      <c r="G284" s="95">
        <v>6</v>
      </c>
      <c r="I284" s="54"/>
    </row>
    <row r="285" spans="2:9" s="38" customFormat="1" ht="14.5" outlineLevel="1">
      <c r="B285" s="54">
        <f t="shared" si="29"/>
        <v>274</v>
      </c>
      <c r="C285" s="55">
        <f>$C$11*(1+Premissas!$C$17)^(B285/12)-1</f>
        <v>746018.60860880418</v>
      </c>
      <c r="D285" s="56">
        <f t="shared" si="30"/>
        <v>6529.0190211319405</v>
      </c>
      <c r="E285" s="56">
        <f>IF(-Financiamento!I294-Investimentos!D285&gt;0,-Financiamento!I294-Investimentos!D285,0)</f>
        <v>0</v>
      </c>
      <c r="F285" s="93">
        <f>FV((1+Premissas!$C$17)^(1/12)-1,Premissas!$C$23-B284,0,-E285)</f>
        <v>0</v>
      </c>
      <c r="G285" s="95">
        <v>6</v>
      </c>
      <c r="I285" s="54"/>
    </row>
    <row r="286" spans="2:9" s="38" customFormat="1" ht="14.5" outlineLevel="1">
      <c r="B286" s="54">
        <f t="shared" si="29"/>
        <v>275</v>
      </c>
      <c r="C286" s="55">
        <f>$C$11*(1+Premissas!$C$17)^(B286/12)-1</f>
        <v>751510.20903718716</v>
      </c>
      <c r="D286" s="56">
        <f t="shared" si="30"/>
        <v>6529.0190211319405</v>
      </c>
      <c r="E286" s="56">
        <f>IF(-Financiamento!I295-Investimentos!D286&gt;0,-Financiamento!I295-Investimentos!D286,0)</f>
        <v>0</v>
      </c>
      <c r="F286" s="93">
        <f>FV((1+Premissas!$C$17)^(1/12)-1,Premissas!$C$23-B285,0,-E286)</f>
        <v>0</v>
      </c>
      <c r="G286" s="95">
        <v>6</v>
      </c>
      <c r="I286" s="54"/>
    </row>
    <row r="287" spans="2:9" s="38" customFormat="1" ht="14.5" outlineLevel="1">
      <c r="B287" s="54">
        <f t="shared" si="29"/>
        <v>276</v>
      </c>
      <c r="C287" s="55">
        <f>$C$11*(1+Premissas!$C$17)^(B287/12)-1</f>
        <v>757042.23424116231</v>
      </c>
      <c r="D287" s="88">
        <f t="shared" ref="D287:D298" si="31">D286</f>
        <v>6529.0190211319405</v>
      </c>
      <c r="E287" s="56">
        <f>IF(-Financiamento!I296-Investimentos!D287&gt;0,-Financiamento!I296-Investimentos!D287,0)</f>
        <v>0</v>
      </c>
      <c r="F287" s="93">
        <f>FV((1+Premissas!$C$17)^(1/12)-1,Premissas!$C$23-B286,0,-E287)</f>
        <v>0</v>
      </c>
      <c r="G287" s="95">
        <v>6</v>
      </c>
      <c r="I287" s="54"/>
    </row>
    <row r="288" spans="2:9" s="38" customFormat="1" ht="14.5" outlineLevel="1">
      <c r="B288" s="54">
        <f t="shared" si="29"/>
        <v>277</v>
      </c>
      <c r="C288" s="55">
        <f>$C$11*(1+Premissas!$C$17)^(B288/12)-1</f>
        <v>762614.98179563438</v>
      </c>
      <c r="D288" s="89">
        <f>D287*((1+Premissas!$C$15)*(1+Premissas!$C$12))</f>
        <v>6889.7473220494803</v>
      </c>
      <c r="E288" s="56">
        <f>IF(-Financiamento!I297-Investimentos!D288&gt;0,-Financiamento!I297-Investimentos!D288,0)</f>
        <v>0</v>
      </c>
      <c r="F288" s="93">
        <f>FV((1+Premissas!$C$17)^(1/12)-1,Premissas!$C$23-B287,0,-E288)</f>
        <v>0</v>
      </c>
      <c r="G288" s="95">
        <v>6</v>
      </c>
      <c r="I288" s="54"/>
    </row>
    <row r="289" spans="2:9" s="38" customFormat="1" ht="14.5" outlineLevel="1">
      <c r="B289" s="54">
        <f t="shared" si="29"/>
        <v>278</v>
      </c>
      <c r="C289" s="55">
        <f>$C$11*(1+Premissas!$C$17)^(B289/12)-1</f>
        <v>768228.75146601978</v>
      </c>
      <c r="D289" s="56">
        <f t="shared" si="31"/>
        <v>6889.7473220494803</v>
      </c>
      <c r="E289" s="56">
        <f>IF(-Financiamento!I298-Investimentos!D289&gt;0,-Financiamento!I298-Investimentos!D289,0)</f>
        <v>0</v>
      </c>
      <c r="F289" s="93">
        <f>FV((1+Premissas!$C$17)^(1/12)-1,Premissas!$C$23-B288,0,-E289)</f>
        <v>0</v>
      </c>
      <c r="G289" s="95">
        <v>6</v>
      </c>
      <c r="I289" s="54"/>
    </row>
    <row r="290" spans="2:9" s="38" customFormat="1" ht="14.5" outlineLevel="1">
      <c r="B290" s="54">
        <f t="shared" si="29"/>
        <v>279</v>
      </c>
      <c r="C290" s="55">
        <f>$C$11*(1+Premissas!$C$17)^(B290/12)-1</f>
        <v>773883.84522436571</v>
      </c>
      <c r="D290" s="56">
        <f t="shared" si="31"/>
        <v>6889.7473220494803</v>
      </c>
      <c r="E290" s="56">
        <f>IF(-Financiamento!I299-Investimentos!D290&gt;0,-Financiamento!I299-Investimentos!D290,0)</f>
        <v>0</v>
      </c>
      <c r="F290" s="93">
        <f>FV((1+Premissas!$C$17)^(1/12)-1,Premissas!$C$23-B289,0,-E290)</f>
        <v>0</v>
      </c>
      <c r="G290" s="95">
        <v>6</v>
      </c>
      <c r="I290" s="54"/>
    </row>
    <row r="291" spans="2:9" s="38" customFormat="1" ht="14.5" outlineLevel="1">
      <c r="B291" s="54">
        <f t="shared" si="29"/>
        <v>280</v>
      </c>
      <c r="C291" s="55">
        <f>$C$11*(1+Premissas!$C$17)^(B291/12)-1</f>
        <v>779580.56726559775</v>
      </c>
      <c r="D291" s="56">
        <f t="shared" si="31"/>
        <v>6889.7473220494803</v>
      </c>
      <c r="E291" s="56">
        <f>IF(-Financiamento!I300-Investimentos!D291&gt;0,-Financiamento!I300-Investimentos!D291,0)</f>
        <v>0</v>
      </c>
      <c r="F291" s="93">
        <f>FV((1+Premissas!$C$17)^(1/12)-1,Premissas!$C$23-B290,0,-E291)</f>
        <v>0</v>
      </c>
      <c r="G291" s="95">
        <v>6</v>
      </c>
      <c r="I291" s="54"/>
    </row>
    <row r="292" spans="2:9" s="38" customFormat="1" ht="14.5" outlineLevel="1">
      <c r="B292" s="54">
        <f t="shared" si="29"/>
        <v>281</v>
      </c>
      <c r="C292" s="55">
        <f>$C$11*(1+Premissas!$C$17)^(B292/12)-1</f>
        <v>785319.22402388207</v>
      </c>
      <c r="D292" s="56">
        <f t="shared" si="31"/>
        <v>6889.7473220494803</v>
      </c>
      <c r="E292" s="56">
        <f>IF(-Financiamento!I301-Investimentos!D292&gt;0,-Financiamento!I301-Investimentos!D292,0)</f>
        <v>0</v>
      </c>
      <c r="F292" s="93">
        <f>FV((1+Premissas!$C$17)^(1/12)-1,Premissas!$C$23-B291,0,-E292)</f>
        <v>0</v>
      </c>
      <c r="G292" s="95">
        <v>6</v>
      </c>
      <c r="I292" s="54"/>
    </row>
    <row r="293" spans="2:9" s="38" customFormat="1" ht="14.5" outlineLevel="1">
      <c r="B293" s="54">
        <f t="shared" si="29"/>
        <v>282</v>
      </c>
      <c r="C293" s="55">
        <f>$C$11*(1+Premissas!$C$17)^(B293/12)-1</f>
        <v>791100.12418910663</v>
      </c>
      <c r="D293" s="56">
        <f t="shared" si="31"/>
        <v>6889.7473220494803</v>
      </c>
      <c r="E293" s="56">
        <f>IF(-Financiamento!I302-Investimentos!D293&gt;0,-Financiamento!I302-Investimentos!D293,0)</f>
        <v>0</v>
      </c>
      <c r="F293" s="93">
        <f>FV((1+Premissas!$C$17)^(1/12)-1,Premissas!$C$23-B292,0,-E293)</f>
        <v>0</v>
      </c>
      <c r="G293" s="95">
        <v>6</v>
      </c>
      <c r="I293" s="54"/>
    </row>
    <row r="294" spans="2:9" s="38" customFormat="1" ht="14.5" outlineLevel="1">
      <c r="B294" s="54">
        <f t="shared" si="29"/>
        <v>283</v>
      </c>
      <c r="C294" s="55">
        <f>$C$11*(1+Premissas!$C$17)^(B294/12)-1</f>
        <v>796923.57872348919</v>
      </c>
      <c r="D294" s="56">
        <f t="shared" si="31"/>
        <v>6889.7473220494803</v>
      </c>
      <c r="E294" s="56">
        <f>IF(-Financiamento!I303-Investimentos!D294&gt;0,-Financiamento!I303-Investimentos!D294,0)</f>
        <v>0</v>
      </c>
      <c r="F294" s="93">
        <f>FV((1+Premissas!$C$17)^(1/12)-1,Premissas!$C$23-B293,0,-E294)</f>
        <v>0</v>
      </c>
      <c r="G294" s="95">
        <v>6</v>
      </c>
      <c r="I294" s="54"/>
    </row>
    <row r="295" spans="2:9" s="38" customFormat="1" ht="14.5" outlineLevel="1">
      <c r="B295" s="54">
        <f t="shared" si="29"/>
        <v>284</v>
      </c>
      <c r="C295" s="55">
        <f>$C$11*(1+Premissas!$C$17)^(B295/12)-1</f>
        <v>802789.90087830229</v>
      </c>
      <c r="D295" s="56">
        <f t="shared" si="31"/>
        <v>6889.7473220494803</v>
      </c>
      <c r="E295" s="56">
        <f>IF(-Financiamento!I304-Investimentos!D295&gt;0,-Financiamento!I304-Investimentos!D295,0)</f>
        <v>0</v>
      </c>
      <c r="F295" s="93">
        <f>FV((1+Premissas!$C$17)^(1/12)-1,Premissas!$C$23-B294,0,-E295)</f>
        <v>0</v>
      </c>
      <c r="G295" s="95">
        <v>6</v>
      </c>
      <c r="I295" s="54"/>
    </row>
    <row r="296" spans="2:9" s="38" customFormat="1" ht="14.5" outlineLevel="1">
      <c r="B296" s="54">
        <f t="shared" si="29"/>
        <v>285</v>
      </c>
      <c r="C296" s="55">
        <f>$C$11*(1+Premissas!$C$17)^(B296/12)-1</f>
        <v>808699.40621072461</v>
      </c>
      <c r="D296" s="56">
        <f t="shared" si="31"/>
        <v>6889.7473220494803</v>
      </c>
      <c r="E296" s="56">
        <f>IF(-Financiamento!I305-Investimentos!D296&gt;0,-Financiamento!I305-Investimentos!D296,0)</f>
        <v>0</v>
      </c>
      <c r="F296" s="93">
        <f>FV((1+Premissas!$C$17)^(1/12)-1,Premissas!$C$23-B295,0,-E296)</f>
        <v>0</v>
      </c>
      <c r="G296" s="95">
        <v>6</v>
      </c>
      <c r="I296" s="54"/>
    </row>
    <row r="297" spans="2:9" s="38" customFormat="1" ht="14.5" outlineLevel="1">
      <c r="B297" s="54">
        <f t="shared" si="29"/>
        <v>286</v>
      </c>
      <c r="C297" s="55">
        <f>$C$11*(1+Premissas!$C$17)^(B297/12)-1</f>
        <v>814652.41260081413</v>
      </c>
      <c r="D297" s="56">
        <f t="shared" si="31"/>
        <v>6889.7473220494803</v>
      </c>
      <c r="E297" s="56">
        <f>IF(-Financiamento!I306-Investimentos!D297&gt;0,-Financiamento!I306-Investimentos!D297,0)</f>
        <v>0</v>
      </c>
      <c r="F297" s="93">
        <f>FV((1+Premissas!$C$17)^(1/12)-1,Premissas!$C$23-B296,0,-E297)</f>
        <v>0</v>
      </c>
      <c r="G297" s="95">
        <v>6</v>
      </c>
      <c r="I297" s="54"/>
    </row>
    <row r="298" spans="2:9" s="38" customFormat="1" ht="14.5" outlineLevel="1">
      <c r="B298" s="54">
        <f t="shared" si="29"/>
        <v>287</v>
      </c>
      <c r="C298" s="55">
        <f>$C$11*(1+Premissas!$C$17)^(B298/12)-1</f>
        <v>820649.24026860879</v>
      </c>
      <c r="D298" s="56">
        <f t="shared" si="31"/>
        <v>6889.7473220494803</v>
      </c>
      <c r="E298" s="56">
        <f>IF(-Financiamento!I307-Investimentos!D298&gt;0,-Financiamento!I307-Investimentos!D298,0)</f>
        <v>0</v>
      </c>
      <c r="F298" s="93">
        <f>FV((1+Premissas!$C$17)^(1/12)-1,Premissas!$C$23-B297,0,-E298)</f>
        <v>0</v>
      </c>
      <c r="G298" s="95">
        <v>6</v>
      </c>
      <c r="I298" s="54"/>
    </row>
    <row r="299" spans="2:9" s="38" customFormat="1" ht="14.5" outlineLevel="1">
      <c r="B299" s="54">
        <f t="shared" si="29"/>
        <v>288</v>
      </c>
      <c r="C299" s="55">
        <f>$C$11*(1+Premissas!$C$17)^(B299/12)-1</f>
        <v>826690.21179134923</v>
      </c>
      <c r="D299" s="88">
        <f t="shared" ref="D299:D310" si="32">D298</f>
        <v>6889.7473220494803</v>
      </c>
      <c r="E299" s="56">
        <f>IF(-Financiamento!I308-Investimentos!D299&gt;0,-Financiamento!I308-Investimentos!D299,0)</f>
        <v>0</v>
      </c>
      <c r="F299" s="93">
        <f>FV((1+Premissas!$C$17)^(1/12)-1,Premissas!$C$23-B298,0,-E299)</f>
        <v>0</v>
      </c>
      <c r="G299" s="95">
        <v>6</v>
      </c>
      <c r="I299" s="54"/>
    </row>
    <row r="300" spans="2:9" s="38" customFormat="1" ht="14.5" outlineLevel="1">
      <c r="B300" s="54">
        <f t="shared" si="29"/>
        <v>289</v>
      </c>
      <c r="C300" s="55">
        <f>$C$11*(1+Premissas!$C$17)^(B300/12)-1</f>
        <v>832775.6521208327</v>
      </c>
      <c r="D300" s="89">
        <f>D299*((1+Premissas!$C$15)*(1+Premissas!$C$12))</f>
        <v>7270.4058615927142</v>
      </c>
      <c r="E300" s="56">
        <f>IF(-Financiamento!I309-Investimentos!D300&gt;0,-Financiamento!I309-Investimentos!D300,0)</f>
        <v>0</v>
      </c>
      <c r="F300" s="93">
        <f>FV((1+Premissas!$C$17)^(1/12)-1,Premissas!$C$23-B299,0,-E300)</f>
        <v>0</v>
      </c>
      <c r="G300" s="95">
        <v>6</v>
      </c>
      <c r="I300" s="54"/>
    </row>
    <row r="301" spans="2:9" s="38" customFormat="1" ht="14.5" outlineLevel="1">
      <c r="B301" s="54">
        <f t="shared" si="29"/>
        <v>290</v>
      </c>
      <c r="C301" s="55">
        <f>$C$11*(1+Premissas!$C$17)^(B301/12)-1</f>
        <v>838905.88860089355</v>
      </c>
      <c r="D301" s="56">
        <f t="shared" si="32"/>
        <v>7270.4058615927142</v>
      </c>
      <c r="E301" s="56">
        <f>IF(-Financiamento!I310-Investimentos!D301&gt;0,-Financiamento!I310-Investimentos!D301,0)</f>
        <v>0</v>
      </c>
      <c r="F301" s="93">
        <f>FV((1+Premissas!$C$17)^(1/12)-1,Premissas!$C$23-B300,0,-E301)</f>
        <v>0</v>
      </c>
      <c r="G301" s="95">
        <v>6</v>
      </c>
      <c r="I301" s="54"/>
    </row>
    <row r="302" spans="2:9" s="38" customFormat="1" ht="14.5" outlineLevel="1">
      <c r="B302" s="54">
        <f t="shared" si="29"/>
        <v>291</v>
      </c>
      <c r="C302" s="55">
        <f>$C$11*(1+Premissas!$C$17)^(B302/12)-1</f>
        <v>845081.25098500738</v>
      </c>
      <c r="D302" s="56">
        <f t="shared" si="32"/>
        <v>7270.4058615927142</v>
      </c>
      <c r="E302" s="56">
        <f>IF(-Financiamento!I311-Investimentos!D302&gt;0,-Financiamento!I311-Investimentos!D302,0)</f>
        <v>0</v>
      </c>
      <c r="F302" s="93">
        <f>FV((1+Premissas!$C$17)^(1/12)-1,Premissas!$C$23-B301,0,-E302)</f>
        <v>0</v>
      </c>
      <c r="G302" s="95">
        <v>6</v>
      </c>
      <c r="I302" s="54"/>
    </row>
    <row r="303" spans="2:9" s="38" customFormat="1" ht="14.5" outlineLevel="1">
      <c r="B303" s="54">
        <f t="shared" si="29"/>
        <v>292</v>
      </c>
      <c r="C303" s="55">
        <f>$C$11*(1+Premissas!$C$17)^(B303/12)-1</f>
        <v>851302.07145403314</v>
      </c>
      <c r="D303" s="56">
        <f t="shared" si="32"/>
        <v>7270.4058615927142</v>
      </c>
      <c r="E303" s="56">
        <f>IF(-Financiamento!I312-Investimentos!D303&gt;0,-Financiamento!I312-Investimentos!D303,0)</f>
        <v>0</v>
      </c>
      <c r="F303" s="93">
        <f>FV((1+Premissas!$C$17)^(1/12)-1,Premissas!$C$23-B302,0,-E303)</f>
        <v>0</v>
      </c>
      <c r="G303" s="95">
        <v>6</v>
      </c>
      <c r="I303" s="54"/>
    </row>
    <row r="304" spans="2:9" s="38" customFormat="1" ht="14.5" outlineLevel="1">
      <c r="B304" s="54">
        <f t="shared" si="29"/>
        <v>293</v>
      </c>
      <c r="C304" s="55">
        <f>$C$11*(1+Premissas!$C$17)^(B304/12)-1</f>
        <v>857568.68463407923</v>
      </c>
      <c r="D304" s="56">
        <f t="shared" si="32"/>
        <v>7270.4058615927142</v>
      </c>
      <c r="E304" s="56">
        <f>IF(-Financiamento!I313-Investimentos!D304&gt;0,-Financiamento!I313-Investimentos!D304,0)</f>
        <v>0</v>
      </c>
      <c r="F304" s="93">
        <f>FV((1+Premissas!$C$17)^(1/12)-1,Premissas!$C$23-B303,0,-E304)</f>
        <v>0</v>
      </c>
      <c r="G304" s="95">
        <v>6</v>
      </c>
      <c r="I304" s="54"/>
    </row>
    <row r="305" spans="2:9" s="38" customFormat="1" ht="14.5" outlineLevel="1">
      <c r="B305" s="54">
        <f t="shared" si="29"/>
        <v>294</v>
      </c>
      <c r="C305" s="55">
        <f>$C$11*(1+Premissas!$C$17)^(B305/12)-1</f>
        <v>863881.42761450447</v>
      </c>
      <c r="D305" s="56">
        <f t="shared" si="32"/>
        <v>7270.4058615927142</v>
      </c>
      <c r="E305" s="56">
        <f>IF(-Financiamento!I314-Investimentos!D305&gt;0,-Financiamento!I314-Investimentos!D305,0)</f>
        <v>0</v>
      </c>
      <c r="F305" s="93">
        <f>FV((1+Premissas!$C$17)^(1/12)-1,Premissas!$C$23-B304,0,-E305)</f>
        <v>0</v>
      </c>
      <c r="G305" s="95">
        <v>6</v>
      </c>
      <c r="I305" s="54"/>
    </row>
    <row r="306" spans="2:9" s="38" customFormat="1" ht="14.5" outlineLevel="1">
      <c r="B306" s="54">
        <f t="shared" si="29"/>
        <v>295</v>
      </c>
      <c r="C306" s="55">
        <f>$C$11*(1+Premissas!$C$17)^(B306/12)-1</f>
        <v>870240.63996605016</v>
      </c>
      <c r="D306" s="56">
        <f t="shared" si="32"/>
        <v>7270.4058615927142</v>
      </c>
      <c r="E306" s="56">
        <f>IF(-Financiamento!I315-Investimentos!D306&gt;0,-Financiamento!I315-Investimentos!D306,0)</f>
        <v>0</v>
      </c>
      <c r="F306" s="93">
        <f>FV((1+Premissas!$C$17)^(1/12)-1,Premissas!$C$23-B305,0,-E306)</f>
        <v>0</v>
      </c>
      <c r="G306" s="95">
        <v>6</v>
      </c>
      <c r="I306" s="54"/>
    </row>
    <row r="307" spans="2:9" s="38" customFormat="1" ht="14.5" outlineLevel="1">
      <c r="B307" s="54">
        <f t="shared" si="29"/>
        <v>296</v>
      </c>
      <c r="C307" s="55">
        <f>$C$11*(1+Premissas!$C$17)^(B307/12)-1</f>
        <v>876646.66375910654</v>
      </c>
      <c r="D307" s="56">
        <f t="shared" si="32"/>
        <v>7270.4058615927142</v>
      </c>
      <c r="E307" s="56">
        <f>IF(-Financiamento!I316-Investimentos!D307&gt;0,-Financiamento!I316-Investimentos!D307,0)</f>
        <v>0</v>
      </c>
      <c r="F307" s="93">
        <f>FV((1+Premissas!$C$17)^(1/12)-1,Premissas!$C$23-B306,0,-E307)</f>
        <v>0</v>
      </c>
      <c r="G307" s="95">
        <v>6</v>
      </c>
      <c r="I307" s="54"/>
    </row>
    <row r="308" spans="2:9" s="38" customFormat="1" ht="14.5" outlineLevel="1">
      <c r="B308" s="54">
        <f t="shared" si="29"/>
        <v>297</v>
      </c>
      <c r="C308" s="55">
        <f>$C$11*(1+Premissas!$C$17)^(B308/12)-1</f>
        <v>883099.84358211118</v>
      </c>
      <c r="D308" s="56">
        <f t="shared" si="32"/>
        <v>7270.4058615927142</v>
      </c>
      <c r="E308" s="56">
        <f>IF(-Financiamento!I317-Investimentos!D308&gt;0,-Financiamento!I317-Investimentos!D308,0)</f>
        <v>0</v>
      </c>
      <c r="F308" s="93">
        <f>FV((1+Premissas!$C$17)^(1/12)-1,Premissas!$C$23-B307,0,-E308)</f>
        <v>0</v>
      </c>
      <c r="G308" s="95">
        <v>6</v>
      </c>
      <c r="I308" s="54"/>
    </row>
    <row r="309" spans="2:9" s="38" customFormat="1" ht="14.5" outlineLevel="1">
      <c r="B309" s="54">
        <f t="shared" si="29"/>
        <v>298</v>
      </c>
      <c r="C309" s="55">
        <f>$C$11*(1+Premissas!$C$17)^(B309/12)-1</f>
        <v>889600.52656008885</v>
      </c>
      <c r="D309" s="56">
        <f t="shared" si="32"/>
        <v>7270.4058615927142</v>
      </c>
      <c r="E309" s="56">
        <f>IF(-Financiamento!I318-Investimentos!D309&gt;0,-Financiamento!I318-Investimentos!D309,0)</f>
        <v>0</v>
      </c>
      <c r="F309" s="93">
        <f>FV((1+Premissas!$C$17)^(1/12)-1,Premissas!$C$23-B308,0,-E309)</f>
        <v>0</v>
      </c>
      <c r="G309" s="95">
        <v>6</v>
      </c>
      <c r="I309" s="54"/>
    </row>
    <row r="310" spans="2:9" s="38" customFormat="1" ht="14.5" outlineLevel="1">
      <c r="B310" s="54">
        <f t="shared" si="29"/>
        <v>299</v>
      </c>
      <c r="C310" s="55">
        <f>$C$11*(1+Premissas!$C$17)^(B310/12)-1</f>
        <v>896149.06237332069</v>
      </c>
      <c r="D310" s="56">
        <f t="shared" si="32"/>
        <v>7270.4058615927142</v>
      </c>
      <c r="E310" s="56">
        <f>IF(-Financiamento!I319-Investimentos!D310&gt;0,-Financiamento!I319-Investimentos!D310,0)</f>
        <v>0</v>
      </c>
      <c r="F310" s="93">
        <f>FV((1+Premissas!$C$17)^(1/12)-1,Premissas!$C$23-B309,0,-E310)</f>
        <v>0</v>
      </c>
      <c r="G310" s="95">
        <v>6</v>
      </c>
      <c r="I310" s="54"/>
    </row>
    <row r="311" spans="2:9" s="38" customFormat="1" ht="14.5" outlineLevel="1">
      <c r="B311" s="54">
        <f t="shared" si="29"/>
        <v>300</v>
      </c>
      <c r="C311" s="55">
        <f>$C$11*(1+Premissas!$C$17)^(B311/12)-1</f>
        <v>902745.80327615351</v>
      </c>
      <c r="D311" s="88">
        <f t="shared" ref="D311:D322" si="33">D310</f>
        <v>7270.4058615927142</v>
      </c>
      <c r="E311" s="56">
        <f>IF(-Financiamento!I320-Investimentos!D311&gt;0,-Financiamento!I320-Investimentos!D311,0)</f>
        <v>0</v>
      </c>
      <c r="F311" s="93">
        <f>FV((1+Premissas!$C$17)^(1/12)-1,Premissas!$C$23-B310,0,-E311)</f>
        <v>0</v>
      </c>
      <c r="G311" s="95">
        <v>6</v>
      </c>
      <c r="I311" s="54"/>
    </row>
    <row r="312" spans="2:9" s="38" customFormat="1" ht="14.5" outlineLevel="1">
      <c r="B312" s="54">
        <f t="shared" si="29"/>
        <v>301</v>
      </c>
      <c r="C312" s="55">
        <f>$C$11*(1+Premissas!$C$17)^(B312/12)-1</f>
        <v>909391.10411594971</v>
      </c>
      <c r="D312" s="89">
        <f>D311*((1+Premissas!$C$15)*(1+Premissas!$C$12))</f>
        <v>7672.095785445712</v>
      </c>
      <c r="E312" s="56">
        <f>IF(-Financiamento!I321-Investimentos!D312&gt;0,-Financiamento!I321-Investimentos!D312,0)</f>
        <v>0</v>
      </c>
      <c r="F312" s="93">
        <f>FV((1+Premissas!$C$17)^(1/12)-1,Premissas!$C$23-B311,0,-E312)</f>
        <v>0</v>
      </c>
      <c r="G312" s="95">
        <v>6</v>
      </c>
      <c r="I312" s="54"/>
    </row>
    <row r="313" spans="2:9" s="38" customFormat="1" ht="14.5" outlineLevel="1">
      <c r="B313" s="54">
        <f t="shared" si="29"/>
        <v>302</v>
      </c>
      <c r="C313" s="55">
        <f>$C$11*(1+Premissas!$C$17)^(B313/12)-1</f>
        <v>916085.32235217583</v>
      </c>
      <c r="D313" s="56">
        <f t="shared" si="33"/>
        <v>7672.095785445712</v>
      </c>
      <c r="E313" s="56">
        <f>IF(-Financiamento!I322-Investimentos!D313&gt;0,-Financiamento!I322-Investimentos!D313,0)</f>
        <v>0</v>
      </c>
      <c r="F313" s="93">
        <f>FV((1+Premissas!$C$17)^(1/12)-1,Premissas!$C$23-B312,0,-E313)</f>
        <v>0</v>
      </c>
      <c r="G313" s="95">
        <v>6</v>
      </c>
      <c r="I313" s="54"/>
    </row>
    <row r="314" spans="2:9" s="38" customFormat="1" ht="14.5" outlineLevel="1">
      <c r="B314" s="54">
        <f t="shared" si="29"/>
        <v>303</v>
      </c>
      <c r="C314" s="55">
        <f>$C$11*(1+Premissas!$C$17)^(B314/12)-1</f>
        <v>922828.81807562814</v>
      </c>
      <c r="D314" s="56">
        <f t="shared" si="33"/>
        <v>7672.095785445712</v>
      </c>
      <c r="E314" s="56">
        <f>IF(-Financiamento!I323-Investimentos!D314&gt;0,-Financiamento!I323-Investimentos!D314,0)</f>
        <v>0</v>
      </c>
      <c r="F314" s="93">
        <f>FV((1+Premissas!$C$17)^(1/12)-1,Premissas!$C$23-B313,0,-E314)</f>
        <v>0</v>
      </c>
      <c r="G314" s="95">
        <v>6</v>
      </c>
      <c r="I314" s="54"/>
    </row>
    <row r="315" spans="2:9" s="38" customFormat="1" ht="14.5" outlineLevel="1">
      <c r="B315" s="54">
        <f t="shared" si="29"/>
        <v>304</v>
      </c>
      <c r="C315" s="55">
        <f>$C$11*(1+Premissas!$C$17)^(B315/12)-1</f>
        <v>929621.95402780408</v>
      </c>
      <c r="D315" s="56">
        <f t="shared" si="33"/>
        <v>7672.095785445712</v>
      </c>
      <c r="E315" s="56">
        <f>IF(-Financiamento!I324-Investimentos!D315&gt;0,-Financiamento!I324-Investimentos!D315,0)</f>
        <v>0</v>
      </c>
      <c r="F315" s="93">
        <f>FV((1+Premissas!$C$17)^(1/12)-1,Premissas!$C$23-B314,0,-E315)</f>
        <v>0</v>
      </c>
      <c r="G315" s="95">
        <v>6</v>
      </c>
      <c r="I315" s="54"/>
    </row>
    <row r="316" spans="2:9" s="38" customFormat="1" ht="14.5" outlineLevel="1">
      <c r="B316" s="54">
        <f t="shared" si="29"/>
        <v>305</v>
      </c>
      <c r="C316" s="55">
        <f>$C$11*(1+Premissas!$C$17)^(B316/12)-1</f>
        <v>936465.09562041436</v>
      </c>
      <c r="D316" s="56">
        <f t="shared" si="33"/>
        <v>7672.095785445712</v>
      </c>
      <c r="E316" s="56">
        <f>IF(-Financiamento!I325-Investimentos!D316&gt;0,-Financiamento!I325-Investimentos!D316,0)</f>
        <v>0</v>
      </c>
      <c r="F316" s="93">
        <f>FV((1+Premissas!$C$17)^(1/12)-1,Premissas!$C$23-B315,0,-E316)</f>
        <v>0</v>
      </c>
      <c r="G316" s="95">
        <v>6</v>
      </c>
      <c r="I316" s="54"/>
    </row>
    <row r="317" spans="2:9" s="38" customFormat="1" ht="14.5" outlineLevel="1">
      <c r="B317" s="54">
        <f t="shared" si="29"/>
        <v>306</v>
      </c>
      <c r="C317" s="55">
        <f>$C$11*(1+Premissas!$C$17)^(B317/12)-1</f>
        <v>943358.61095503881</v>
      </c>
      <c r="D317" s="56">
        <f t="shared" si="33"/>
        <v>7672.095785445712</v>
      </c>
      <c r="E317" s="56">
        <f>IF(-Financiamento!I326-Investimentos!D317&gt;0,-Financiamento!I326-Investimentos!D317,0)</f>
        <v>0</v>
      </c>
      <c r="F317" s="93">
        <f>FV((1+Premissas!$C$17)^(1/12)-1,Premissas!$C$23-B316,0,-E317)</f>
        <v>0</v>
      </c>
      <c r="G317" s="95">
        <v>6</v>
      </c>
      <c r="I317" s="54"/>
    </row>
    <row r="318" spans="2:9" s="38" customFormat="1" ht="14.5" outlineLevel="1">
      <c r="B318" s="54">
        <f t="shared" si="29"/>
        <v>307</v>
      </c>
      <c r="C318" s="55">
        <f>$C$11*(1+Premissas!$C$17)^(B318/12)-1</f>
        <v>950302.87084292679</v>
      </c>
      <c r="D318" s="56">
        <f t="shared" si="33"/>
        <v>7672.095785445712</v>
      </c>
      <c r="E318" s="56">
        <f>IF(-Financiamento!I327-Investimentos!D318&gt;0,-Financiamento!I327-Investimentos!D318,0)</f>
        <v>0</v>
      </c>
      <c r="F318" s="93">
        <f>FV((1+Premissas!$C$17)^(1/12)-1,Premissas!$C$23-B317,0,-E318)</f>
        <v>0</v>
      </c>
      <c r="G318" s="95">
        <v>6</v>
      </c>
      <c r="I318" s="54"/>
    </row>
    <row r="319" spans="2:9" s="38" customFormat="1" ht="14.5" outlineLevel="1">
      <c r="B319" s="54">
        <f t="shared" si="29"/>
        <v>308</v>
      </c>
      <c r="C319" s="55">
        <f>$C$11*(1+Premissas!$C$17)^(B319/12)-1</f>
        <v>957298.24882494414</v>
      </c>
      <c r="D319" s="56">
        <f t="shared" si="33"/>
        <v>7672.095785445712</v>
      </c>
      <c r="E319" s="56">
        <f>IF(-Financiamento!I328-Investimentos!D319&gt;0,-Financiamento!I328-Investimentos!D319,0)</f>
        <v>0</v>
      </c>
      <c r="F319" s="93">
        <f>FV((1+Premissas!$C$17)^(1/12)-1,Premissas!$C$23-B318,0,-E319)</f>
        <v>0</v>
      </c>
      <c r="G319" s="95">
        <v>6</v>
      </c>
      <c r="I319" s="54"/>
    </row>
    <row r="320" spans="2:9" s="38" customFormat="1" ht="14.5" outlineLevel="1">
      <c r="B320" s="54">
        <f t="shared" si="29"/>
        <v>309</v>
      </c>
      <c r="C320" s="55">
        <f>$C$11*(1+Premissas!$C$17)^(B320/12)-1</f>
        <v>964345.12119166588</v>
      </c>
      <c r="D320" s="56">
        <f t="shared" si="33"/>
        <v>7672.095785445712</v>
      </c>
      <c r="E320" s="56">
        <f>IF(-Financiamento!I329-Investimentos!D320&gt;0,-Financiamento!I329-Investimentos!D320,0)</f>
        <v>0</v>
      </c>
      <c r="F320" s="93">
        <f>FV((1+Premissas!$C$17)^(1/12)-1,Premissas!$C$23-B319,0,-E320)</f>
        <v>0</v>
      </c>
      <c r="G320" s="95">
        <v>6</v>
      </c>
      <c r="I320" s="54"/>
    </row>
    <row r="321" spans="2:9" s="38" customFormat="1" ht="14.5" outlineLevel="1">
      <c r="B321" s="54">
        <f t="shared" si="29"/>
        <v>310</v>
      </c>
      <c r="C321" s="55">
        <f>$C$11*(1+Premissas!$C$17)^(B321/12)-1</f>
        <v>971443.86700361711</v>
      </c>
      <c r="D321" s="56">
        <f t="shared" si="33"/>
        <v>7672.095785445712</v>
      </c>
      <c r="E321" s="56">
        <f>IF(-Financiamento!I330-Investimentos!D321&gt;0,-Financiamento!I330-Investimentos!D321,0)</f>
        <v>0</v>
      </c>
      <c r="F321" s="93">
        <f>FV((1+Premissas!$C$17)^(1/12)-1,Premissas!$C$23-B320,0,-E321)</f>
        <v>0</v>
      </c>
      <c r="G321" s="95">
        <v>6</v>
      </c>
      <c r="I321" s="54"/>
    </row>
    <row r="322" spans="2:9" s="38" customFormat="1" ht="14.5" outlineLevel="1">
      <c r="B322" s="54">
        <f t="shared" si="29"/>
        <v>311</v>
      </c>
      <c r="C322" s="55">
        <f>$C$11*(1+Premissas!$C$17)^(B322/12)-1</f>
        <v>978594.86811166629</v>
      </c>
      <c r="D322" s="56">
        <f t="shared" si="33"/>
        <v>7672.095785445712</v>
      </c>
      <c r="E322" s="56">
        <f>IF(-Financiamento!I331-Investimentos!D322&gt;0,-Financiamento!I331-Investimentos!D322,0)</f>
        <v>0</v>
      </c>
      <c r="F322" s="93">
        <f>FV((1+Premissas!$C$17)^(1/12)-1,Premissas!$C$23-B321,0,-E322)</f>
        <v>0</v>
      </c>
      <c r="G322" s="95">
        <v>6</v>
      </c>
      <c r="I322" s="54"/>
    </row>
    <row r="323" spans="2:9" s="38" customFormat="1" ht="14.5" outlineLevel="1">
      <c r="B323" s="54">
        <f t="shared" si="29"/>
        <v>312</v>
      </c>
      <c r="C323" s="55">
        <f>$C$11*(1+Premissas!$C$17)^(B323/12)-1</f>
        <v>985798.50917755964</v>
      </c>
      <c r="D323" s="88">
        <f t="shared" ref="D323:D334" si="34">D322</f>
        <v>7672.095785445712</v>
      </c>
      <c r="E323" s="56">
        <f>IF(-Financiamento!I332-Investimentos!D323&gt;0,-Financiamento!I332-Investimentos!D323,0)</f>
        <v>0</v>
      </c>
      <c r="F323" s="93">
        <f>FV((1+Premissas!$C$17)^(1/12)-1,Premissas!$C$23-B322,0,-E323)</f>
        <v>0</v>
      </c>
      <c r="G323" s="95">
        <v>6</v>
      </c>
      <c r="I323" s="54"/>
    </row>
    <row r="324" spans="2:9" s="38" customFormat="1" ht="14.5" outlineLevel="1">
      <c r="B324" s="54">
        <f t="shared" si="29"/>
        <v>313</v>
      </c>
      <c r="C324" s="55">
        <f>$C$11*(1+Premissas!$C$17)^(B324/12)-1</f>
        <v>993055.17769461707</v>
      </c>
      <c r="D324" s="89">
        <f>D323*((1+Premissas!$C$15)*(1+Premissas!$C$12))</f>
        <v>8095.9790775915881</v>
      </c>
      <c r="E324" s="56">
        <f>IF(-Financiamento!I333-Investimentos!D324&gt;0,-Financiamento!I333-Investimentos!D324,0)</f>
        <v>0</v>
      </c>
      <c r="F324" s="93">
        <f>FV((1+Premissas!$C$17)^(1/12)-1,Premissas!$C$23-B323,0,-E324)</f>
        <v>0</v>
      </c>
      <c r="G324" s="95">
        <v>6</v>
      </c>
      <c r="I324" s="54"/>
    </row>
    <row r="325" spans="2:9" s="38" customFormat="1" ht="14.5" outlineLevel="1">
      <c r="B325" s="54">
        <f t="shared" si="29"/>
        <v>314</v>
      </c>
      <c r="C325" s="55">
        <f>$C$11*(1+Premissas!$C$17)^(B325/12)-1</f>
        <v>1000365.2640085759</v>
      </c>
      <c r="D325" s="56">
        <f t="shared" si="34"/>
        <v>8095.9790775915881</v>
      </c>
      <c r="E325" s="56">
        <f>IF(-Financiamento!I334-Investimentos!D325&gt;0,-Financiamento!I334-Investimentos!D325,0)</f>
        <v>0</v>
      </c>
      <c r="F325" s="93">
        <f>FV((1+Premissas!$C$17)^(1/12)-1,Premissas!$C$23-B324,0,-E325)</f>
        <v>0</v>
      </c>
      <c r="G325" s="95">
        <v>6</v>
      </c>
      <c r="I325" s="54"/>
    </row>
    <row r="326" spans="2:9" s="38" customFormat="1" ht="14.5" outlineLevel="1">
      <c r="B326" s="54">
        <f t="shared" si="29"/>
        <v>315</v>
      </c>
      <c r="C326" s="55">
        <f>$C$11*(1+Premissas!$C$17)^(B326/12)-1</f>
        <v>1007729.161338586</v>
      </c>
      <c r="D326" s="56">
        <f t="shared" si="34"/>
        <v>8095.9790775915881</v>
      </c>
      <c r="E326" s="56">
        <f>IF(-Financiamento!I335-Investimentos!D326&gt;0,-Financiamento!I335-Investimentos!D326,0)</f>
        <v>0</v>
      </c>
      <c r="F326" s="93">
        <f>FV((1+Premissas!$C$17)^(1/12)-1,Premissas!$C$23-B325,0,-E326)</f>
        <v>0</v>
      </c>
      <c r="G326" s="95">
        <v>6</v>
      </c>
      <c r="I326" s="54"/>
    </row>
    <row r="327" spans="2:9" s="38" customFormat="1" ht="14.5" outlineLevel="1">
      <c r="B327" s="54">
        <f t="shared" si="29"/>
        <v>316</v>
      </c>
      <c r="C327" s="55">
        <f>$C$11*(1+Premissas!$C$17)^(B327/12)-1</f>
        <v>1015147.2657983621</v>
      </c>
      <c r="D327" s="56">
        <f t="shared" si="34"/>
        <v>8095.9790775915881</v>
      </c>
      <c r="E327" s="56">
        <f>IF(-Financiamento!I336-Investimentos!D327&gt;0,-Financiamento!I336-Investimentos!D327,0)</f>
        <v>0</v>
      </c>
      <c r="F327" s="93">
        <f>FV((1+Premissas!$C$17)^(1/12)-1,Premissas!$C$23-B326,0,-E327)</f>
        <v>0</v>
      </c>
      <c r="G327" s="95">
        <v>6</v>
      </c>
      <c r="I327" s="54"/>
    </row>
    <row r="328" spans="2:9" s="38" customFormat="1" ht="14.5" outlineLevel="1">
      <c r="B328" s="54">
        <f t="shared" si="29"/>
        <v>317</v>
      </c>
      <c r="C328" s="55">
        <f>$C$11*(1+Premissas!$C$17)^(B328/12)-1</f>
        <v>1022619.9764174931</v>
      </c>
      <c r="D328" s="56">
        <f t="shared" si="34"/>
        <v>8095.9790775915881</v>
      </c>
      <c r="E328" s="56">
        <f>IF(-Financiamento!I337-Investimentos!D328&gt;0,-Financiamento!I337-Investimentos!D328,0)</f>
        <v>0</v>
      </c>
      <c r="F328" s="93">
        <f>FV((1+Premissas!$C$17)^(1/12)-1,Premissas!$C$23-B327,0,-E328)</f>
        <v>0</v>
      </c>
      <c r="G328" s="95">
        <v>6</v>
      </c>
      <c r="I328" s="54"/>
    </row>
    <row r="329" spans="2:9" s="38" customFormat="1" ht="14.5" outlineLevel="1">
      <c r="B329" s="54">
        <f t="shared" si="29"/>
        <v>318</v>
      </c>
      <c r="C329" s="55">
        <f>$C$11*(1+Premissas!$C$17)^(B329/12)-1</f>
        <v>1030147.6951629024</v>
      </c>
      <c r="D329" s="56">
        <f t="shared" si="34"/>
        <v>8095.9790775915881</v>
      </c>
      <c r="E329" s="56">
        <f>IF(-Financiamento!I338-Investimentos!D329&gt;0,-Financiamento!I338-Investimentos!D329,0)</f>
        <v>0</v>
      </c>
      <c r="F329" s="93">
        <f>FV((1+Premissas!$C$17)^(1/12)-1,Premissas!$C$23-B328,0,-E329)</f>
        <v>0</v>
      </c>
      <c r="G329" s="95">
        <v>6</v>
      </c>
      <c r="I329" s="54"/>
    </row>
    <row r="330" spans="2:9" s="38" customFormat="1" ht="14.5" outlineLevel="1">
      <c r="B330" s="54">
        <f t="shared" si="29"/>
        <v>319</v>
      </c>
      <c r="C330" s="55">
        <f>$C$11*(1+Premissas!$C$17)^(B330/12)-1</f>
        <v>1037730.8269604759</v>
      </c>
      <c r="D330" s="56">
        <f t="shared" si="34"/>
        <v>8095.9790775915881</v>
      </c>
      <c r="E330" s="56">
        <f>IF(-Financiamento!I339-Investimentos!D330&gt;0,-Financiamento!I339-Investimentos!D330,0)</f>
        <v>0</v>
      </c>
      <c r="F330" s="93">
        <f>FV((1+Premissas!$C$17)^(1/12)-1,Premissas!$C$23-B329,0,-E330)</f>
        <v>0</v>
      </c>
      <c r="G330" s="95">
        <v>6</v>
      </c>
      <c r="I330" s="54"/>
    </row>
    <row r="331" spans="2:9" s="38" customFormat="1" ht="14.5" outlineLevel="1">
      <c r="B331" s="54">
        <f t="shared" si="29"/>
        <v>320</v>
      </c>
      <c r="C331" s="55">
        <f>$C$11*(1+Premissas!$C$17)^(B331/12)-1</f>
        <v>1045369.7797168391</v>
      </c>
      <c r="D331" s="56">
        <f t="shared" si="34"/>
        <v>8095.9790775915881</v>
      </c>
      <c r="E331" s="56">
        <f>IF(-Financiamento!I340-Investimentos!D331&gt;0,-Financiamento!I340-Investimentos!D331,0)</f>
        <v>0</v>
      </c>
      <c r="F331" s="93">
        <f>FV((1+Premissas!$C$17)^(1/12)-1,Premissas!$C$23-B330,0,-E331)</f>
        <v>0</v>
      </c>
      <c r="G331" s="95">
        <v>6</v>
      </c>
      <c r="I331" s="54"/>
    </row>
    <row r="332" spans="2:9" s="38" customFormat="1" ht="14.5" outlineLevel="1">
      <c r="B332" s="54">
        <f t="shared" si="29"/>
        <v>321</v>
      </c>
      <c r="C332" s="55">
        <f>$C$11*(1+Premissas!$C$17)^(B332/12)-1</f>
        <v>1053064.9643412991</v>
      </c>
      <c r="D332" s="56">
        <f t="shared" si="34"/>
        <v>8095.9790775915881</v>
      </c>
      <c r="E332" s="56">
        <f>IF(-Financiamento!I341-Investimentos!D332&gt;0,-Financiamento!I341-Investimentos!D332,0)</f>
        <v>0</v>
      </c>
      <c r="F332" s="93">
        <f>FV((1+Premissas!$C$17)^(1/12)-1,Premissas!$C$23-B331,0,-E332)</f>
        <v>0</v>
      </c>
      <c r="G332" s="95">
        <v>6</v>
      </c>
      <c r="I332" s="54"/>
    </row>
    <row r="333" spans="2:9" s="38" customFormat="1" ht="14.5" outlineLevel="1">
      <c r="B333" s="54">
        <f t="shared" ref="B333:B368" si="35">B332+1</f>
        <v>322</v>
      </c>
      <c r="C333" s="55">
        <f>$C$11*(1+Premissas!$C$17)^(B333/12)-1</f>
        <v>1060816.7947679504</v>
      </c>
      <c r="D333" s="56">
        <f t="shared" si="34"/>
        <v>8095.9790775915881</v>
      </c>
      <c r="E333" s="56">
        <f>IF(-Financiamento!I342-Investimentos!D333&gt;0,-Financiamento!I342-Investimentos!D333,0)</f>
        <v>0</v>
      </c>
      <c r="F333" s="93">
        <f>FV((1+Premissas!$C$17)^(1/12)-1,Premissas!$C$23-B332,0,-E333)</f>
        <v>0</v>
      </c>
      <c r="G333" s="95">
        <v>6</v>
      </c>
      <c r="I333" s="54"/>
    </row>
    <row r="334" spans="2:9" s="38" customFormat="1" ht="14.5" outlineLevel="1">
      <c r="B334" s="54">
        <f t="shared" si="35"/>
        <v>323</v>
      </c>
      <c r="C334" s="55">
        <f>$C$11*(1+Premissas!$C$17)^(B334/12)-1</f>
        <v>1068625.6879779396</v>
      </c>
      <c r="D334" s="56">
        <f t="shared" si="34"/>
        <v>8095.9790775915881</v>
      </c>
      <c r="E334" s="56">
        <f>IF(-Financiamento!I343-Investimentos!D334&gt;0,-Financiamento!I343-Investimentos!D334,0)</f>
        <v>0</v>
      </c>
      <c r="F334" s="93">
        <f>FV((1+Premissas!$C$17)^(1/12)-1,Premissas!$C$23-B333,0,-E334)</f>
        <v>0</v>
      </c>
      <c r="G334" s="95">
        <v>6</v>
      </c>
      <c r="I334" s="54"/>
    </row>
    <row r="335" spans="2:9" s="38" customFormat="1" ht="14.5" outlineLevel="1">
      <c r="B335" s="54">
        <f t="shared" si="35"/>
        <v>324</v>
      </c>
      <c r="C335" s="55">
        <f>$C$11*(1+Premissas!$C$17)^(B335/12)-1</f>
        <v>1076492.0640218954</v>
      </c>
      <c r="D335" s="88">
        <f t="shared" ref="D335:D346" si="36">D334</f>
        <v>8095.9790775915881</v>
      </c>
      <c r="E335" s="56">
        <f>IF(-Financiamento!I344-Investimentos!D335&gt;0,-Financiamento!I344-Investimentos!D335,0)</f>
        <v>0</v>
      </c>
      <c r="F335" s="93">
        <f>FV((1+Premissas!$C$17)^(1/12)-1,Premissas!$C$23-B334,0,-E335)</f>
        <v>0</v>
      </c>
      <c r="G335" s="95">
        <v>6</v>
      </c>
      <c r="I335" s="54"/>
    </row>
    <row r="336" spans="2:9" s="38" customFormat="1" ht="14.5" outlineLevel="1">
      <c r="B336" s="54">
        <f t="shared" si="35"/>
        <v>325</v>
      </c>
      <c r="C336" s="55">
        <f>$C$11*(1+Premissas!$C$17)^(B336/12)-1</f>
        <v>1084416.346042522</v>
      </c>
      <c r="D336" s="89">
        <f>D335*((1+Premissas!$C$15)*(1+Premissas!$C$12))</f>
        <v>8543.2819216285243</v>
      </c>
      <c r="E336" s="56">
        <f>IF(-Financiamento!I345-Investimentos!D336&gt;0,-Financiamento!I345-Investimentos!D336,0)</f>
        <v>0</v>
      </c>
      <c r="F336" s="93">
        <f>FV((1+Premissas!$C$17)^(1/12)-1,Premissas!$C$23-B335,0,-E336)</f>
        <v>0</v>
      </c>
      <c r="G336" s="95">
        <v>6</v>
      </c>
      <c r="I336" s="54"/>
    </row>
    <row r="337" spans="2:9" s="38" customFormat="1" ht="14.5" outlineLevel="1">
      <c r="B337" s="54">
        <f t="shared" si="35"/>
        <v>326</v>
      </c>
      <c r="C337" s="55">
        <f>$C$11*(1+Premissas!$C$17)^(B337/12)-1</f>
        <v>1092398.960297365</v>
      </c>
      <c r="D337" s="56">
        <f t="shared" si="36"/>
        <v>8543.2819216285243</v>
      </c>
      <c r="E337" s="56">
        <f>IF(-Financiamento!I346-Investimentos!D337&gt;0,-Financiamento!I346-Investimentos!D337,0)</f>
        <v>0</v>
      </c>
      <c r="F337" s="93">
        <f>FV((1+Premissas!$C$17)^(1/12)-1,Premissas!$C$23-B336,0,-E337)</f>
        <v>0</v>
      </c>
      <c r="G337" s="95">
        <v>6</v>
      </c>
      <c r="I337" s="54"/>
    </row>
    <row r="338" spans="2:9" s="38" customFormat="1" ht="14.5" outlineLevel="1">
      <c r="B338" s="54">
        <f t="shared" si="35"/>
        <v>327</v>
      </c>
      <c r="C338" s="55">
        <f>$C$11*(1+Premissas!$C$17)^(B338/12)-1</f>
        <v>1100440.3361817359</v>
      </c>
      <c r="D338" s="56">
        <f t="shared" si="36"/>
        <v>8543.2819216285243</v>
      </c>
      <c r="E338" s="56">
        <f>IF(-Financiamento!I347-Investimentos!D338&gt;0,-Financiamento!I347-Investimentos!D338,0)</f>
        <v>0</v>
      </c>
      <c r="F338" s="93">
        <f>FV((1+Premissas!$C$17)^(1/12)-1,Premissas!$C$23-B337,0,-E338)</f>
        <v>0</v>
      </c>
      <c r="G338" s="95">
        <v>6</v>
      </c>
      <c r="I338" s="54"/>
    </row>
    <row r="339" spans="2:9" s="38" customFormat="1" ht="14.5" outlineLevel="1">
      <c r="B339" s="54">
        <f t="shared" si="35"/>
        <v>328</v>
      </c>
      <c r="C339" s="55">
        <f>$C$11*(1+Premissas!$C$17)^(B339/12)-1</f>
        <v>1108540.9062518114</v>
      </c>
      <c r="D339" s="56">
        <f t="shared" si="36"/>
        <v>8543.2819216285243</v>
      </c>
      <c r="E339" s="56">
        <f>IF(-Financiamento!I348-Investimentos!D339&gt;0,-Financiamento!I348-Investimentos!D339,0)</f>
        <v>0</v>
      </c>
      <c r="F339" s="93">
        <f>FV((1+Premissas!$C$17)^(1/12)-1,Premissas!$C$23-B338,0,-E339)</f>
        <v>0</v>
      </c>
      <c r="G339" s="95">
        <v>6</v>
      </c>
      <c r="I339" s="54"/>
    </row>
    <row r="340" spans="2:9" s="38" customFormat="1" ht="14.5" outlineLevel="1">
      <c r="B340" s="54">
        <f t="shared" si="35"/>
        <v>329</v>
      </c>
      <c r="C340" s="55">
        <f>$C$11*(1+Premissas!$C$17)^(B340/12)-1</f>
        <v>1116701.1062479024</v>
      </c>
      <c r="D340" s="56">
        <f t="shared" si="36"/>
        <v>8543.2819216285243</v>
      </c>
      <c r="E340" s="56">
        <f>IF(-Financiamento!I349-Investimentos!D340&gt;0,-Financiamento!I349-Investimentos!D340,0)</f>
        <v>0</v>
      </c>
      <c r="F340" s="93">
        <f>FV((1+Premissas!$C$17)^(1/12)-1,Premissas!$C$23-B339,0,-E340)</f>
        <v>0</v>
      </c>
      <c r="G340" s="95">
        <v>6</v>
      </c>
      <c r="I340" s="54"/>
    </row>
    <row r="341" spans="2:9" s="38" customFormat="1" ht="14.5" outlineLevel="1">
      <c r="B341" s="54">
        <f t="shared" si="35"/>
        <v>330</v>
      </c>
      <c r="C341" s="55">
        <f>$C$11*(1+Premissas!$C$17)^(B341/12)-1</f>
        <v>1124921.3751178898</v>
      </c>
      <c r="D341" s="56">
        <f t="shared" si="36"/>
        <v>8543.2819216285243</v>
      </c>
      <c r="E341" s="56">
        <f>IF(-Financiamento!I350-Investimentos!D341&gt;0,-Financiamento!I350-Investimentos!D341,0)</f>
        <v>0</v>
      </c>
      <c r="F341" s="93">
        <f>FV((1+Premissas!$C$17)^(1/12)-1,Premissas!$C$23-B340,0,-E341)</f>
        <v>0</v>
      </c>
      <c r="G341" s="95">
        <v>6</v>
      </c>
      <c r="I341" s="54"/>
    </row>
    <row r="342" spans="2:9" s="38" customFormat="1" ht="14.5" outlineLevel="1">
      <c r="B342" s="54">
        <f t="shared" si="35"/>
        <v>331</v>
      </c>
      <c r="C342" s="55">
        <f>$C$11*(1+Premissas!$C$17)^(B342/12)-1</f>
        <v>1133202.1550408402</v>
      </c>
      <c r="D342" s="56">
        <f t="shared" si="36"/>
        <v>8543.2819216285243</v>
      </c>
      <c r="E342" s="56">
        <f>IF(-Financiamento!I351-Investimentos!D342&gt;0,-Financiamento!I351-Investimentos!D342,0)</f>
        <v>0</v>
      </c>
      <c r="F342" s="93">
        <f>FV((1+Premissas!$C$17)^(1/12)-1,Premissas!$C$23-B341,0,-E342)</f>
        <v>0</v>
      </c>
      <c r="G342" s="95">
        <v>6</v>
      </c>
      <c r="I342" s="54"/>
    </row>
    <row r="343" spans="2:9" s="38" customFormat="1" ht="14.5" outlineLevel="1">
      <c r="B343" s="54">
        <f t="shared" si="35"/>
        <v>332</v>
      </c>
      <c r="C343" s="55">
        <f>$C$11*(1+Premissas!$C$17)^(B343/12)-1</f>
        <v>1141543.8914507881</v>
      </c>
      <c r="D343" s="56">
        <f t="shared" si="36"/>
        <v>8543.2819216285243</v>
      </c>
      <c r="E343" s="56">
        <f>IF(-Financiamento!I352-Investimentos!D343&gt;0,-Financiamento!I352-Investimentos!D343,0)</f>
        <v>0</v>
      </c>
      <c r="F343" s="93">
        <f>FV((1+Premissas!$C$17)^(1/12)-1,Premissas!$C$23-B342,0,-E343)</f>
        <v>0</v>
      </c>
      <c r="G343" s="95">
        <v>6</v>
      </c>
      <c r="I343" s="54"/>
    </row>
    <row r="344" spans="2:9" s="38" customFormat="1" ht="14.5" outlineLevel="1">
      <c r="B344" s="54">
        <f t="shared" si="35"/>
        <v>333</v>
      </c>
      <c r="C344" s="55">
        <f>$C$11*(1+Premissas!$C$17)^(B344/12)-1</f>
        <v>1149947.0330606985</v>
      </c>
      <c r="D344" s="56">
        <f t="shared" si="36"/>
        <v>8543.2819216285243</v>
      </c>
      <c r="E344" s="56">
        <f>IF(-Financiamento!I353-Investimentos!D344&gt;0,-Financiamento!I353-Investimentos!D344,0)</f>
        <v>0</v>
      </c>
      <c r="F344" s="93">
        <f>FV((1+Premissas!$C$17)^(1/12)-1,Premissas!$C$23-B343,0,-E344)</f>
        <v>0</v>
      </c>
      <c r="G344" s="95">
        <v>6</v>
      </c>
      <c r="I344" s="54"/>
    </row>
    <row r="345" spans="2:9" s="38" customFormat="1" ht="14.5" outlineLevel="1">
      <c r="B345" s="54">
        <f t="shared" si="35"/>
        <v>334</v>
      </c>
      <c r="C345" s="55">
        <f>$C$11*(1+Premissas!$C$17)^(B345/12)-1</f>
        <v>1158412.0318866018</v>
      </c>
      <c r="D345" s="56">
        <f t="shared" si="36"/>
        <v>8543.2819216285243</v>
      </c>
      <c r="E345" s="56">
        <f>IF(-Financiamento!I354-Investimentos!D345&gt;0,-Financiamento!I354-Investimentos!D345,0)</f>
        <v>0</v>
      </c>
      <c r="F345" s="93">
        <f>FV((1+Premissas!$C$17)^(1/12)-1,Premissas!$C$23-B344,0,-E345)</f>
        <v>0</v>
      </c>
      <c r="G345" s="95">
        <v>6</v>
      </c>
      <c r="I345" s="54"/>
    </row>
    <row r="346" spans="2:9" s="38" customFormat="1" ht="14.5" outlineLevel="1">
      <c r="B346" s="54">
        <f t="shared" si="35"/>
        <v>335</v>
      </c>
      <c r="C346" s="55">
        <f>$C$11*(1+Premissas!$C$17)^(B346/12)-1</f>
        <v>1166939.34327191</v>
      </c>
      <c r="D346" s="56">
        <f t="shared" si="36"/>
        <v>8543.2819216285243</v>
      </c>
      <c r="E346" s="56">
        <f>IF(-Financiamento!I355-Investimentos!D346&gt;0,-Financiamento!I355-Investimentos!D346,0)</f>
        <v>0</v>
      </c>
      <c r="F346" s="93">
        <f>FV((1+Premissas!$C$17)^(1/12)-1,Premissas!$C$23-B345,0,-E346)</f>
        <v>0</v>
      </c>
      <c r="G346" s="95">
        <v>6</v>
      </c>
      <c r="I346" s="54"/>
    </row>
    <row r="347" spans="2:9" s="38" customFormat="1" ht="14.5" outlineLevel="1">
      <c r="B347" s="54">
        <f t="shared" si="35"/>
        <v>336</v>
      </c>
      <c r="C347" s="55">
        <f>$C$11*(1+Premissas!$C$17)^(B347/12)-1</f>
        <v>1175529.4259119097</v>
      </c>
      <c r="D347" s="88">
        <f t="shared" ref="D347:D358" si="37">D346</f>
        <v>8543.2819216285243</v>
      </c>
      <c r="E347" s="56">
        <f>IF(-Financiamento!I356-Investimentos!D347&gt;0,-Financiamento!I356-Investimentos!D347,0)</f>
        <v>0</v>
      </c>
      <c r="F347" s="93">
        <f>FV((1+Premissas!$C$17)^(1/12)-1,Premissas!$C$23-B346,0,-E347)</f>
        <v>0</v>
      </c>
      <c r="G347" s="95">
        <v>6</v>
      </c>
      <c r="I347" s="54"/>
    </row>
    <row r="348" spans="2:9" s="38" customFormat="1" ht="14.5" outlineLevel="1">
      <c r="B348" s="54">
        <f t="shared" si="35"/>
        <v>337</v>
      </c>
      <c r="C348" s="55">
        <f>$C$11*(1+Premissas!$C$17)^(B348/12)-1</f>
        <v>1184182.7418784339</v>
      </c>
      <c r="D348" s="89">
        <f>D347*((1+Premissas!$C$15)*(1+Premissas!$C$12))</f>
        <v>9015.2982477985006</v>
      </c>
      <c r="E348" s="56">
        <f>IF(-Financiamento!I357-Investimentos!D348&gt;0,-Financiamento!I357-Investimentos!D348,0)</f>
        <v>0</v>
      </c>
      <c r="F348" s="93">
        <f>FV((1+Premissas!$C$17)^(1/12)-1,Premissas!$C$23-B347,0,-E348)</f>
        <v>0</v>
      </c>
      <c r="G348" s="95">
        <v>6</v>
      </c>
      <c r="I348" s="54"/>
    </row>
    <row r="349" spans="2:9" s="38" customFormat="1" ht="14.5" outlineLevel="1">
      <c r="B349" s="54">
        <f t="shared" si="35"/>
        <v>338</v>
      </c>
      <c r="C349" s="55">
        <f>$C$11*(1+Premissas!$C$17)^(B349/12)-1</f>
        <v>1192899.756644723</v>
      </c>
      <c r="D349" s="56">
        <f t="shared" si="37"/>
        <v>9015.2982477985006</v>
      </c>
      <c r="E349" s="56">
        <f>IF(-Financiamento!I358-Investimentos!D349&gt;0,-Financiamento!I358-Investimentos!D349,0)</f>
        <v>0</v>
      </c>
      <c r="F349" s="93">
        <f>FV((1+Premissas!$C$17)^(1/12)-1,Premissas!$C$23-B348,0,-E349)</f>
        <v>0</v>
      </c>
      <c r="G349" s="95">
        <v>6</v>
      </c>
      <c r="I349" s="54"/>
    </row>
    <row r="350" spans="2:9" s="38" customFormat="1" ht="14.5" outlineLevel="1">
      <c r="B350" s="54">
        <f t="shared" si="35"/>
        <v>339</v>
      </c>
      <c r="C350" s="55">
        <f>$C$11*(1+Premissas!$C$17)^(B350/12)-1</f>
        <v>1201680.939110456</v>
      </c>
      <c r="D350" s="56">
        <f t="shared" si="37"/>
        <v>9015.2982477985006</v>
      </c>
      <c r="E350" s="56">
        <f>IF(-Financiamento!I359-Investimentos!D350&gt;0,-Financiamento!I359-Investimentos!D350,0)</f>
        <v>0</v>
      </c>
      <c r="F350" s="93">
        <f>FV((1+Premissas!$C$17)^(1/12)-1,Premissas!$C$23-B349,0,-E350)</f>
        <v>0</v>
      </c>
      <c r="G350" s="95">
        <v>6</v>
      </c>
      <c r="I350" s="54"/>
    </row>
    <row r="351" spans="2:9" s="38" customFormat="1" ht="14.5" outlineLevel="1">
      <c r="B351" s="54">
        <f t="shared" si="35"/>
        <v>340</v>
      </c>
      <c r="C351" s="55">
        <f>$C$11*(1+Premissas!$C$17)^(B351/12)-1</f>
        <v>1210526.7616269782</v>
      </c>
      <c r="D351" s="56">
        <f t="shared" si="37"/>
        <v>9015.2982477985006</v>
      </c>
      <c r="E351" s="56">
        <f>IF(-Financiamento!I360-Investimentos!D351&gt;0,-Financiamento!I360-Investimentos!D351,0)</f>
        <v>0</v>
      </c>
      <c r="F351" s="93">
        <f>FV((1+Premissas!$C$17)^(1/12)-1,Premissas!$C$23-B350,0,-E351)</f>
        <v>0</v>
      </c>
      <c r="G351" s="95">
        <v>6</v>
      </c>
      <c r="I351" s="54"/>
    </row>
    <row r="352" spans="2:9" s="38" customFormat="1" ht="14.5" outlineLevel="1">
      <c r="B352" s="54">
        <f t="shared" si="35"/>
        <v>341</v>
      </c>
      <c r="C352" s="55">
        <f>$C$11*(1+Premissas!$C$17)^(B352/12)-1</f>
        <v>1219437.7000227093</v>
      </c>
      <c r="D352" s="56">
        <f t="shared" si="37"/>
        <v>9015.2982477985006</v>
      </c>
      <c r="E352" s="56">
        <f>IF(-Financiamento!I361-Investimentos!D352&gt;0,-Financiamento!I361-Investimentos!D352,0)</f>
        <v>0</v>
      </c>
      <c r="F352" s="93">
        <f>FV((1+Premissas!$C$17)^(1/12)-1,Premissas!$C$23-B351,0,-E352)</f>
        <v>0</v>
      </c>
      <c r="G352" s="95">
        <v>6</v>
      </c>
      <c r="I352" s="54"/>
    </row>
    <row r="353" spans="2:9" s="38" customFormat="1" ht="14.5" outlineLevel="1">
      <c r="B353" s="54">
        <f t="shared" si="35"/>
        <v>342</v>
      </c>
      <c r="C353" s="55">
        <f>$C$11*(1+Premissas!$C$17)^(B353/12)-1</f>
        <v>1228414.2336287359</v>
      </c>
      <c r="D353" s="56">
        <f t="shared" si="37"/>
        <v>9015.2982477985006</v>
      </c>
      <c r="E353" s="56">
        <f>IF(-Financiamento!I362-Investimentos!D353&gt;0,-Financiamento!I362-Investimentos!D353,0)</f>
        <v>0</v>
      </c>
      <c r="F353" s="93">
        <f>FV((1+Premissas!$C$17)^(1/12)-1,Premissas!$C$23-B352,0,-E353)</f>
        <v>0</v>
      </c>
      <c r="G353" s="95">
        <v>6</v>
      </c>
      <c r="I353" s="54"/>
    </row>
    <row r="354" spans="2:9" s="38" customFormat="1" ht="14.5" outlineLevel="1">
      <c r="B354" s="54">
        <f t="shared" si="35"/>
        <v>343</v>
      </c>
      <c r="C354" s="55">
        <f>$C$11*(1+Premissas!$C$17)^(B354/12)-1</f>
        <v>1237456.8453045976</v>
      </c>
      <c r="D354" s="56">
        <f t="shared" si="37"/>
        <v>9015.2982477985006</v>
      </c>
      <c r="E354" s="56">
        <f>IF(-Financiamento!I363-Investimentos!D354&gt;0,-Financiamento!I363-Investimentos!D354,0)</f>
        <v>0</v>
      </c>
      <c r="F354" s="93">
        <f>FV((1+Premissas!$C$17)^(1/12)-1,Premissas!$C$23-B353,0,-E354)</f>
        <v>0</v>
      </c>
      <c r="G354" s="95">
        <v>6</v>
      </c>
      <c r="I354" s="54"/>
    </row>
    <row r="355" spans="2:9" s="38" customFormat="1" ht="14.5" outlineLevel="1">
      <c r="B355" s="54">
        <f t="shared" si="35"/>
        <v>344</v>
      </c>
      <c r="C355" s="55">
        <f>$C$11*(1+Premissas!$C$17)^(B355/12)-1</f>
        <v>1246566.021464261</v>
      </c>
      <c r="D355" s="56">
        <f t="shared" si="37"/>
        <v>9015.2982477985006</v>
      </c>
      <c r="E355" s="56">
        <f>IF(-Financiamento!I364-Investimentos!D355&gt;0,-Financiamento!I364-Investimentos!D355,0)</f>
        <v>0</v>
      </c>
      <c r="F355" s="93">
        <f>FV((1+Premissas!$C$17)^(1/12)-1,Premissas!$C$23-B354,0,-E355)</f>
        <v>0</v>
      </c>
      <c r="G355" s="95">
        <v>6</v>
      </c>
      <c r="I355" s="54"/>
    </row>
    <row r="356" spans="2:9" s="38" customFormat="1" ht="14.5" outlineLevel="1">
      <c r="B356" s="54">
        <f t="shared" si="35"/>
        <v>345</v>
      </c>
      <c r="C356" s="55">
        <f>$C$11*(1+Premissas!$C$17)^(B356/12)-1</f>
        <v>1255742.2521022828</v>
      </c>
      <c r="D356" s="56">
        <f t="shared" si="37"/>
        <v>9015.2982477985006</v>
      </c>
      <c r="E356" s="56">
        <f>IF(-Financiamento!I365-Investimentos!D356&gt;0,-Financiamento!I365-Investimentos!D356,0)</f>
        <v>0</v>
      </c>
      <c r="F356" s="93">
        <f>FV((1+Premissas!$C$17)^(1/12)-1,Premissas!$C$23-B355,0,-E356)</f>
        <v>0</v>
      </c>
      <c r="G356" s="95">
        <v>6</v>
      </c>
      <c r="I356" s="54"/>
    </row>
    <row r="357" spans="2:9" s="38" customFormat="1" ht="14.5" outlineLevel="1">
      <c r="B357" s="54">
        <f t="shared" si="35"/>
        <v>346</v>
      </c>
      <c r="C357" s="55">
        <f>$C$11*(1+Premissas!$C$17)^(B357/12)-1</f>
        <v>1264986.0308201693</v>
      </c>
      <c r="D357" s="56">
        <f t="shared" si="37"/>
        <v>9015.2982477985006</v>
      </c>
      <c r="E357" s="56">
        <f>IF(-Financiamento!I366-Investimentos!D357&gt;0,-Financiamento!I366-Investimentos!D357,0)</f>
        <v>0</v>
      </c>
      <c r="F357" s="93">
        <f>FV((1+Premissas!$C$17)^(1/12)-1,Premissas!$C$23-B356,0,-E357)</f>
        <v>0</v>
      </c>
      <c r="G357" s="95">
        <v>6</v>
      </c>
      <c r="I357" s="54"/>
    </row>
    <row r="358" spans="2:9" s="38" customFormat="1" ht="14.5" outlineLevel="1">
      <c r="B358" s="54">
        <f t="shared" si="35"/>
        <v>347</v>
      </c>
      <c r="C358" s="55">
        <f>$C$11*(1+Premissas!$C$17)^(B358/12)-1</f>
        <v>1274297.8548529262</v>
      </c>
      <c r="D358" s="56">
        <f t="shared" si="37"/>
        <v>9015.2982477985006</v>
      </c>
      <c r="E358" s="56">
        <f>IF(-Financiamento!I367-Investimentos!D358&gt;0,-Financiamento!I367-Investimentos!D358,0)</f>
        <v>0</v>
      </c>
      <c r="F358" s="93">
        <f>FV((1+Premissas!$C$17)^(1/12)-1,Premissas!$C$23-B357,0,-E358)</f>
        <v>0</v>
      </c>
      <c r="G358" s="95">
        <v>6</v>
      </c>
      <c r="I358" s="54"/>
    </row>
    <row r="359" spans="2:9" s="38" customFormat="1" ht="14.5" outlineLevel="1">
      <c r="B359" s="54">
        <f t="shared" si="35"/>
        <v>348</v>
      </c>
      <c r="C359" s="55">
        <f>$C$11*(1+Premissas!$C$17)^(B359/12)-1</f>
        <v>1283678.2250958052</v>
      </c>
      <c r="D359" s="88">
        <f t="shared" ref="D359:D368" si="38">D358</f>
        <v>9015.2982477985006</v>
      </c>
      <c r="E359" s="56">
        <f>IF(-Financiamento!I368-Investimentos!D359&gt;0,-Financiamento!I368-Investimentos!D359,0)</f>
        <v>0</v>
      </c>
      <c r="F359" s="93">
        <f>FV((1+Premissas!$C$17)^(1/12)-1,Premissas!$C$23-B358,0,-E359)</f>
        <v>0</v>
      </c>
      <c r="G359" s="95">
        <v>6</v>
      </c>
      <c r="I359" s="54"/>
    </row>
    <row r="360" spans="2:9" s="38" customFormat="1" ht="14.5" outlineLevel="1">
      <c r="B360" s="54">
        <f t="shared" si="35"/>
        <v>349</v>
      </c>
      <c r="C360" s="55">
        <f>$C$11*(1+Premissas!$C$17)^(B360/12)-1</f>
        <v>1293127.6461312498</v>
      </c>
      <c r="D360" s="89">
        <f>D359*((1+Premissas!$C$15)*(1+Premissas!$C$12))</f>
        <v>9513.3934759893673</v>
      </c>
      <c r="E360" s="56">
        <f>IF(-Financiamento!I369-Investimentos!D360&gt;0,-Financiamento!I369-Investimentos!D360,0)</f>
        <v>0</v>
      </c>
      <c r="F360" s="93">
        <f>FV((1+Premissas!$C$17)^(1/12)-1,Premissas!$C$23-B359,0,-E360)</f>
        <v>0</v>
      </c>
      <c r="G360" s="95">
        <v>6</v>
      </c>
      <c r="I360" s="54"/>
    </row>
    <row r="361" spans="2:9" s="38" customFormat="1" ht="14.5" outlineLevel="1">
      <c r="B361" s="54">
        <f t="shared" si="35"/>
        <v>350</v>
      </c>
      <c r="C361" s="55">
        <f>$C$11*(1+Premissas!$C$17)^(B361/12)-1</f>
        <v>1302646.6262560375</v>
      </c>
      <c r="D361" s="56">
        <f t="shared" si="38"/>
        <v>9513.3934759893673</v>
      </c>
      <c r="E361" s="56">
        <f>IF(-Financiamento!I370-Investimentos!D361&gt;0,-Financiamento!I370-Investimentos!D361,0)</f>
        <v>0</v>
      </c>
      <c r="F361" s="93">
        <f>FV((1+Premissas!$C$17)^(1/12)-1,Premissas!$C$23-B360,0,-E361)</f>
        <v>0</v>
      </c>
      <c r="G361" s="95">
        <v>6</v>
      </c>
      <c r="I361" s="54"/>
    </row>
    <row r="362" spans="2:9" s="38" customFormat="1" ht="14.5" outlineLevel="1">
      <c r="B362" s="54">
        <f t="shared" si="35"/>
        <v>351</v>
      </c>
      <c r="C362" s="55">
        <f>$C$11*(1+Premissas!$C$17)^(B362/12)-1</f>
        <v>1312235.677508618</v>
      </c>
      <c r="D362" s="56">
        <f t="shared" si="38"/>
        <v>9513.3934759893673</v>
      </c>
      <c r="E362" s="56">
        <f>IF(-Financiamento!I371-Investimentos!D362&gt;0,-Financiamento!I371-Investimentos!D362,0)</f>
        <v>0</v>
      </c>
      <c r="F362" s="93">
        <f>FV((1+Premissas!$C$17)^(1/12)-1,Premissas!$C$23-B361,0,-E362)</f>
        <v>0</v>
      </c>
      <c r="G362" s="95">
        <v>6</v>
      </c>
      <c r="I362" s="54"/>
    </row>
    <row r="363" spans="2:9" s="38" customFormat="1" ht="14.5" outlineLevel="1">
      <c r="B363" s="54">
        <f t="shared" si="35"/>
        <v>352</v>
      </c>
      <c r="C363" s="55">
        <f>$C$11*(1+Premissas!$C$17)^(B363/12)-1</f>
        <v>1321895.3156966607</v>
      </c>
      <c r="D363" s="56">
        <f t="shared" si="38"/>
        <v>9513.3934759893673</v>
      </c>
      <c r="E363" s="56">
        <f>IF(-Financiamento!I372-Investimentos!D363&gt;0,-Financiamento!I372-Investimentos!D363,0)</f>
        <v>0</v>
      </c>
      <c r="F363" s="93">
        <f>FV((1+Premissas!$C$17)^(1/12)-1,Premissas!$C$23-B362,0,-E363)</f>
        <v>0</v>
      </c>
      <c r="G363" s="95">
        <v>6</v>
      </c>
      <c r="I363" s="54"/>
    </row>
    <row r="364" spans="2:9" s="38" customFormat="1" ht="14.5" outlineLevel="1">
      <c r="B364" s="54">
        <f t="shared" si="35"/>
        <v>353</v>
      </c>
      <c r="C364" s="55">
        <f>$C$11*(1+Premissas!$C$17)^(B364/12)-1</f>
        <v>1331626.0604247986</v>
      </c>
      <c r="D364" s="56">
        <f t="shared" si="38"/>
        <v>9513.3934759893673</v>
      </c>
      <c r="E364" s="56">
        <f>IF(-Financiamento!I373-Investimentos!D364&gt;0,-Financiamento!I373-Investimentos!D364,0)</f>
        <v>0</v>
      </c>
      <c r="F364" s="93">
        <f>FV((1+Premissas!$C$17)^(1/12)-1,Premissas!$C$23-B363,0,-E364)</f>
        <v>0</v>
      </c>
      <c r="G364" s="95">
        <v>6</v>
      </c>
      <c r="I364" s="54"/>
    </row>
    <row r="365" spans="2:9" s="38" customFormat="1" ht="14.5" outlineLevel="1">
      <c r="B365" s="54">
        <f t="shared" si="35"/>
        <v>354</v>
      </c>
      <c r="C365" s="55">
        <f>$C$11*(1+Premissas!$C$17)^(B365/12)-1</f>
        <v>1341428.4351225793</v>
      </c>
      <c r="D365" s="56">
        <f t="shared" si="38"/>
        <v>9513.3934759893673</v>
      </c>
      <c r="E365" s="56">
        <f>IF(-Financiamento!I374-Investimentos!D365&gt;0,-Financiamento!I374-Investimentos!D365,0)</f>
        <v>0</v>
      </c>
      <c r="F365" s="93">
        <f>FV((1+Premissas!$C$17)^(1/12)-1,Premissas!$C$23-B364,0,-E365)</f>
        <v>0</v>
      </c>
      <c r="G365" s="95">
        <v>6</v>
      </c>
      <c r="I365" s="54"/>
    </row>
    <row r="366" spans="2:9" s="38" customFormat="1" ht="14.5" outlineLevel="1">
      <c r="B366" s="54">
        <f t="shared" si="35"/>
        <v>355</v>
      </c>
      <c r="C366" s="55">
        <f>$C$11*(1+Premissas!$C$17)^(B366/12)-1</f>
        <v>1351302.9670726205</v>
      </c>
      <c r="D366" s="56">
        <f t="shared" si="38"/>
        <v>9513.3934759893673</v>
      </c>
      <c r="E366" s="56">
        <f>IF(-Financiamento!I375-Investimentos!D366&gt;0,-Financiamento!I375-Investimentos!D366,0)</f>
        <v>0</v>
      </c>
      <c r="F366" s="93">
        <f>FV((1+Premissas!$C$17)^(1/12)-1,Premissas!$C$23-B365,0,-E366)</f>
        <v>0</v>
      </c>
      <c r="G366" s="95">
        <v>6</v>
      </c>
      <c r="I366" s="54"/>
    </row>
    <row r="367" spans="2:9" s="38" customFormat="1" ht="14.5" outlineLevel="1">
      <c r="B367" s="54">
        <f t="shared" si="35"/>
        <v>356</v>
      </c>
      <c r="C367" s="55">
        <f>$C$11*(1+Premissas!$C$17)^(B367/12)-1</f>
        <v>1361250.1874389728</v>
      </c>
      <c r="D367" s="56">
        <f t="shared" si="38"/>
        <v>9513.3934759893673</v>
      </c>
      <c r="E367" s="56">
        <f>IF(-Financiamento!I376-Investimentos!D367&gt;0,-Financiamento!I376-Investimentos!D367,0)</f>
        <v>0</v>
      </c>
      <c r="F367" s="93">
        <f>FV((1+Premissas!$C$17)^(1/12)-1,Premissas!$C$23-B366,0,-E367)</f>
        <v>0</v>
      </c>
      <c r="G367" s="95">
        <v>6</v>
      </c>
      <c r="I367" s="54"/>
    </row>
    <row r="368" spans="2:9" s="38" customFormat="1" ht="14.5" outlineLevel="1">
      <c r="B368" s="54">
        <f t="shared" si="35"/>
        <v>357</v>
      </c>
      <c r="C368" s="55">
        <f>$C$11*(1+Premissas!$C$17)^(B368/12)-1</f>
        <v>1371270.6312956929</v>
      </c>
      <c r="D368" s="56">
        <f t="shared" si="38"/>
        <v>9513.3934759893673</v>
      </c>
      <c r="E368" s="56">
        <f>IF(-Financiamento!I377-Investimentos!D368&gt;0,-Financiamento!I377-Investimentos!D368,0)</f>
        <v>0</v>
      </c>
      <c r="F368" s="93">
        <f>FV((1+Premissas!$C$17)^(1/12)-1,Premissas!$C$23-B367,0,-E368)</f>
        <v>0</v>
      </c>
      <c r="G368" s="95">
        <v>6</v>
      </c>
      <c r="I368" s="54"/>
    </row>
    <row r="369" spans="2:12" s="38" customFormat="1" ht="14.5" outlineLevel="1">
      <c r="B369" s="54">
        <f t="shared" ref="B369:B371" si="39">B368+1</f>
        <v>358</v>
      </c>
      <c r="C369" s="55">
        <f>$C$11*(1+Premissas!$C$17)^(B369/12)-1</f>
        <v>1381364.8376556248</v>
      </c>
      <c r="D369" s="56">
        <f t="shared" ref="D369:D371" si="40">D368</f>
        <v>9513.3934759893673</v>
      </c>
      <c r="E369" s="56">
        <f>IF(-Financiamento!I378-Investimentos!D369&gt;0,-Financiamento!I378-Investimentos!D369,0)</f>
        <v>0</v>
      </c>
      <c r="F369" s="93">
        <f>FV((1+Premissas!$C$17)^(1/12)-1,Premissas!$C$23-B368,0,-E369)</f>
        <v>0</v>
      </c>
      <c r="G369" s="95">
        <v>6</v>
      </c>
      <c r="I369" s="54"/>
    </row>
    <row r="370" spans="2:12" s="38" customFormat="1" ht="14.5" outlineLevel="1">
      <c r="B370" s="54">
        <f t="shared" si="39"/>
        <v>359</v>
      </c>
      <c r="C370" s="55">
        <f>$C$11*(1+Premissas!$C$17)^(B370/12)-1</f>
        <v>1391533.3494993953</v>
      </c>
      <c r="D370" s="56">
        <f t="shared" si="40"/>
        <v>9513.3934759893673</v>
      </c>
      <c r="E370" s="56">
        <f>IF(-Financiamento!I379-Investimentos!D370&gt;0,-Financiamento!I379-Investimentos!D370,0)</f>
        <v>0</v>
      </c>
      <c r="F370" s="93">
        <f>FV((1+Premissas!$C$17)^(1/12)-1,Premissas!$C$23-B369,0,-E370)</f>
        <v>0</v>
      </c>
      <c r="G370" s="95">
        <v>6</v>
      </c>
      <c r="I370" s="54"/>
    </row>
    <row r="371" spans="2:12" s="38" customFormat="1" ht="15.5" outlineLevel="1">
      <c r="B371" s="54">
        <f t="shared" si="39"/>
        <v>360</v>
      </c>
      <c r="C371" s="55">
        <f>$C$11*(1+Premissas!$C$17)^(B371/12)-1</f>
        <v>1401776.7138046196</v>
      </c>
      <c r="D371" s="56">
        <f t="shared" si="40"/>
        <v>9513.3934759893673</v>
      </c>
      <c r="E371" s="56">
        <f>IF(-Financiamento!I380-Investimentos!D371&gt;0,-Financiamento!I380-Investimentos!D371,0)</f>
        <v>0</v>
      </c>
      <c r="F371" s="93">
        <f>FV((1+Premissas!$C$17)^(1/12)-1,Premissas!$C$23-B370,0,-E371)</f>
        <v>0</v>
      </c>
      <c r="G371" s="96">
        <f>SUM(F12:F371)+C371</f>
        <v>3530829.8745693853</v>
      </c>
      <c r="I371" s="54"/>
    </row>
    <row r="372" spans="2:12" s="38" customFormat="1" ht="7.5" customHeight="1">
      <c r="B372" s="54"/>
      <c r="C372" s="55"/>
      <c r="D372" s="56"/>
      <c r="E372" s="56"/>
      <c r="F372" s="56"/>
      <c r="G372" s="56"/>
      <c r="I372" s="54"/>
    </row>
    <row r="373" spans="2:12" s="38" customFormat="1" ht="7.5" customHeight="1">
      <c r="B373" s="71"/>
      <c r="C373" s="72"/>
      <c r="D373" s="73"/>
      <c r="E373" s="73"/>
      <c r="F373" s="73"/>
      <c r="G373" s="73"/>
      <c r="I373" s="71"/>
      <c r="J373" s="71"/>
      <c r="K373" s="71"/>
      <c r="L373" s="71"/>
    </row>
    <row r="374" spans="2:12" s="38" customFormat="1" ht="14.5">
      <c r="B374" s="54"/>
      <c r="C374" s="55"/>
      <c r="D374" s="56"/>
      <c r="E374" s="56"/>
      <c r="F374" s="56"/>
      <c r="G374" s="56"/>
    </row>
  </sheetData>
  <mergeCells count="10"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G8:G9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autoPageBreaks="0"/>
  </sheetPr>
  <dimension ref="A1:Q38"/>
  <sheetViews>
    <sheetView showGridLines="0" zoomScale="60" zoomScaleNormal="60" workbookViewId="0"/>
  </sheetViews>
  <sheetFormatPr defaultColWidth="0" defaultRowHeight="14" outlineLevelRow="1"/>
  <cols>
    <col min="1" max="1" width="3.1640625" customWidth="1"/>
    <col min="2" max="2" width="22.6640625" customWidth="1"/>
    <col min="3" max="3" width="30.6640625" style="12" customWidth="1"/>
    <col min="4" max="4" width="40" style="15" customWidth="1"/>
    <col min="5" max="5" width="3.5" customWidth="1"/>
    <col min="6" max="7" width="9" hidden="1" customWidth="1"/>
    <col min="8" max="17" width="0" hidden="1" customWidth="1"/>
    <col min="18" max="16384" width="9" hidden="1"/>
  </cols>
  <sheetData>
    <row r="1" spans="1:6" ht="15.75" customHeight="1"/>
    <row r="2" spans="1:6" ht="11.25" customHeight="1"/>
    <row r="3" spans="1:6" ht="15.5">
      <c r="B3" s="113" t="s">
        <v>72</v>
      </c>
      <c r="C3" s="84"/>
      <c r="D3" s="85"/>
    </row>
    <row r="4" spans="1:6">
      <c r="B4" s="114" t="str">
        <f>Capa!C3</f>
        <v>Roteiro Lucrativo para Decisões Imobiliárias</v>
      </c>
      <c r="C4" s="84"/>
      <c r="D4" s="85"/>
    </row>
    <row r="6" spans="1:6" ht="15.75" customHeight="1">
      <c r="B6" s="116" t="s">
        <v>91</v>
      </c>
      <c r="C6" s="117"/>
      <c r="D6" s="123"/>
      <c r="F6" s="102"/>
    </row>
    <row r="7" spans="1:6" ht="15.75" customHeight="1">
      <c r="B7" s="124" t="s">
        <v>87</v>
      </c>
      <c r="C7" s="125">
        <f>Premissas!C23</f>
        <v>360</v>
      </c>
      <c r="D7" s="126"/>
      <c r="F7" s="102"/>
    </row>
    <row r="9" spans="1:6" ht="3.75" customHeight="1"/>
    <row r="10" spans="1:6" ht="33" customHeight="1">
      <c r="B10" s="122" t="s">
        <v>90</v>
      </c>
      <c r="C10" s="121" t="s">
        <v>88</v>
      </c>
      <c r="D10" s="121" t="s">
        <v>89</v>
      </c>
    </row>
    <row r="11" spans="1:6" ht="4.5" customHeight="1"/>
    <row r="12" spans="1:6" s="18" customFormat="1" ht="21.75" customHeight="1">
      <c r="A12" s="11"/>
      <c r="B12" s="112" t="s">
        <v>79</v>
      </c>
      <c r="C12" s="25">
        <f>Investimentos!L41</f>
        <v>2502617.0712774522</v>
      </c>
      <c r="D12" s="115">
        <f>Investimentos!G371</f>
        <v>3530829.8745693853</v>
      </c>
    </row>
    <row r="13" spans="1:6" s="18" customFormat="1" ht="4.5" customHeight="1">
      <c r="A13" s="11"/>
      <c r="B13" s="87"/>
      <c r="C13" s="25"/>
      <c r="D13" s="33"/>
    </row>
    <row r="14" spans="1:6" s="18" customFormat="1" ht="4.5" customHeight="1">
      <c r="A14" s="11"/>
      <c r="B14" s="118"/>
      <c r="C14" s="119"/>
      <c r="D14" s="120"/>
    </row>
    <row r="15" spans="1:6" s="18" customFormat="1" ht="4.5" customHeight="1">
      <c r="A15" s="11"/>
      <c r="B15" s="87"/>
      <c r="C15" s="25"/>
      <c r="D15" s="33"/>
    </row>
    <row r="16" spans="1:6" s="18" customFormat="1" ht="18" customHeight="1">
      <c r="A16" s="11"/>
      <c r="B16" s="200" t="s">
        <v>93</v>
      </c>
      <c r="C16" s="200"/>
      <c r="D16" s="200"/>
    </row>
    <row r="17" spans="1:4" s="18" customFormat="1" ht="24.75" customHeight="1">
      <c r="A17" s="11"/>
      <c r="B17" s="200"/>
      <c r="C17" s="200"/>
      <c r="D17" s="200"/>
    </row>
    <row r="18" spans="1:4" s="18" customFormat="1" ht="10.5" customHeight="1">
      <c r="A18" s="11"/>
      <c r="B18" s="87"/>
      <c r="C18" s="25"/>
      <c r="D18" s="33"/>
    </row>
    <row r="19" spans="1:4" ht="23.25" customHeight="1">
      <c r="B19" s="187" t="s">
        <v>141</v>
      </c>
      <c r="C19" s="188"/>
      <c r="D19" s="189">
        <v>6</v>
      </c>
    </row>
    <row r="20" spans="1:4" ht="5.25" customHeight="1"/>
    <row r="21" spans="1:4" outlineLevel="1">
      <c r="B21" t="s">
        <v>142</v>
      </c>
    </row>
    <row r="22" spans="1:4" outlineLevel="1">
      <c r="B22" t="s">
        <v>143</v>
      </c>
    </row>
    <row r="23" spans="1:4" outlineLevel="1">
      <c r="B23" t="s">
        <v>144</v>
      </c>
    </row>
    <row r="24" spans="1:4" outlineLevel="1">
      <c r="B24" t="s">
        <v>145</v>
      </c>
    </row>
    <row r="25" spans="1:4" outlineLevel="1">
      <c r="B25" s="190" t="s">
        <v>146</v>
      </c>
    </row>
    <row r="26" spans="1:4" ht="12" customHeight="1" outlineLevel="1"/>
    <row r="27" spans="1:4" outlineLevel="1">
      <c r="B27" s="203" t="s">
        <v>147</v>
      </c>
      <c r="C27" s="193"/>
      <c r="D27" s="194"/>
    </row>
    <row r="28" spans="1:4" ht="4.5" customHeight="1" outlineLevel="1">
      <c r="B28" s="191"/>
    </row>
    <row r="29" spans="1:4" outlineLevel="1">
      <c r="B29" t="s">
        <v>148</v>
      </c>
    </row>
    <row r="30" spans="1:4" outlineLevel="1">
      <c r="B30" t="s">
        <v>149</v>
      </c>
    </row>
    <row r="31" spans="1:4" outlineLevel="1"/>
    <row r="32" spans="1:4" outlineLevel="1">
      <c r="B32" t="s">
        <v>150</v>
      </c>
    </row>
    <row r="33" spans="2:4" ht="4.5" customHeight="1" outlineLevel="1">
      <c r="B33" s="192"/>
      <c r="C33" s="193"/>
      <c r="D33" s="194"/>
    </row>
    <row r="34" spans="2:4" outlineLevel="1"/>
    <row r="35" spans="2:4" outlineLevel="1">
      <c r="B35" s="10" t="s">
        <v>151</v>
      </c>
    </row>
    <row r="36" spans="2:4" outlineLevel="1">
      <c r="B36" t="s">
        <v>152</v>
      </c>
    </row>
    <row r="37" spans="2:4" ht="7.5" customHeight="1"/>
    <row r="38" spans="2:4" ht="7.5" customHeight="1">
      <c r="B38" s="9"/>
      <c r="C38" s="13"/>
      <c r="D38" s="16"/>
    </row>
  </sheetData>
  <mergeCells count="1">
    <mergeCell ref="B16:D17"/>
  </mergeCells>
  <conditionalFormatting sqref="C12:D12">
    <cfRule type="top10" dxfId="0" priority="1" rank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Capa</vt:lpstr>
      <vt:lpstr>Perfil Imobiliário</vt:lpstr>
      <vt:lpstr>Perfil Financeiro</vt:lpstr>
      <vt:lpstr>Disponibilidades</vt:lpstr>
      <vt:lpstr>Simulação )</vt:lpstr>
      <vt:lpstr>Premissas</vt:lpstr>
      <vt:lpstr>Financiamento</vt:lpstr>
      <vt:lpstr>Investimentos</vt:lpstr>
      <vt:lpstr>Resultado Simulação</vt:lpstr>
      <vt:lpstr>Compras na Planta</vt:lpstr>
      <vt:lpstr>Documentação Incorporadora</vt:lpstr>
      <vt:lpstr>SD</vt:lpstr>
      <vt:lpstr>TR</vt:lpstr>
      <vt:lpstr>'Resultado Simulação'!VLR_IMÓVEL</vt:lpstr>
      <vt:lpstr>VLR_IMÓVEL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Lemos</dc:creator>
  <cp:lastModifiedBy>Arthur Dantas Lemos</cp:lastModifiedBy>
  <cp:lastPrinted>2018-04-19T17:05:07Z</cp:lastPrinted>
  <dcterms:created xsi:type="dcterms:W3CDTF">2018-04-19T12:19:40Z</dcterms:created>
  <dcterms:modified xsi:type="dcterms:W3CDTF">2023-12-08T16:10:50Z</dcterms:modified>
</cp:coreProperties>
</file>